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14.xml" ContentType="application/vnd.openxmlformats-officedocument.spreadsheetml.table+xml"/>
  <Override PartName="/xl/tables/table15.xml" ContentType="application/vnd.openxmlformats-officedocument.spreadsheetml.table+xml"/>
  <Override PartName="/xl/tables/table16.xml" ContentType="application/vnd.openxmlformats-officedocument.spreadsheetml.table+xml"/>
  <Override PartName="/xl/tables/table17.xml" ContentType="application/vnd.openxmlformats-officedocument.spreadsheetml.table+xml"/>
  <Override PartName="/xl/tables/table18.xml" ContentType="application/vnd.openxmlformats-officedocument.spreadsheetml.table+xml"/>
  <Override PartName="/xl/tables/table19.xml" ContentType="application/vnd.openxmlformats-officedocument.spreadsheetml.table+xml"/>
  <Override PartName="/xl/tables/table20.xml" ContentType="application/vnd.openxmlformats-officedocument.spreadsheetml.table+xml"/>
  <Override PartName="/xl/tables/table21.xml" ContentType="application/vnd.openxmlformats-officedocument.spreadsheetml.table+xml"/>
  <Override PartName="/xl/tables/table22.xml" ContentType="application/vnd.openxmlformats-officedocument.spreadsheetml.table+xml"/>
  <Override PartName="/xl/tables/table23.xml" ContentType="application/vnd.openxmlformats-officedocument.spreadsheetml.table+xml"/>
  <Override PartName="/xl/tables/table24.xml" ContentType="application/vnd.openxmlformats-officedocument.spreadsheetml.table+xml"/>
  <Override PartName="/xl/tables/table25.xml" ContentType="application/vnd.openxmlformats-officedocument.spreadsheetml.table+xml"/>
  <Override PartName="/xl/tables/table26.xml" ContentType="application/vnd.openxmlformats-officedocument.spreadsheetml.table+xml"/>
  <Override PartName="/xl/drawings/drawing4.xml" ContentType="application/vnd.openxmlformats-officedocument.drawing+xml"/>
  <Override PartName="/xl/comments1.xml" ContentType="application/vnd.openxmlformats-officedocument.spreadsheetml.comments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drawings/drawing5.xml" ContentType="application/vnd.openxmlformats-officedocument.drawing+xml"/>
  <Override PartName="/xl/comments2.xml" ContentType="application/vnd.openxmlformats-officedocument.spreadsheetml.comments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6.xml" ContentType="application/vnd.openxmlformats-officedocument.drawing+xml"/>
  <Override PartName="/xl/comments3.xml" ContentType="application/vnd.openxmlformats-officedocument.spreadsheetml.comments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drawings/drawing7.xml" ContentType="application/vnd.openxmlformats-officedocument.drawing+xml"/>
  <Override PartName="/xl/comments4.xml" ContentType="application/vnd.openxmlformats-officedocument.spreadsheetml.comments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drawings/drawing8.xml" ContentType="application/vnd.openxmlformats-officedocument.drawing+xml"/>
  <Override PartName="/xl/comments5.xml" ContentType="application/vnd.openxmlformats-officedocument.spreadsheetml.comments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drawings/drawing9.xml" ContentType="application/vnd.openxmlformats-officedocument.drawing+xml"/>
  <Override PartName="/xl/comments6.xml" ContentType="application/vnd.openxmlformats-officedocument.spreadsheetml.comments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drawings/drawing10.xml" ContentType="application/vnd.openxmlformats-officedocument.drawing+xml"/>
  <Override PartName="/xl/comments7.xml" ContentType="application/vnd.openxmlformats-officedocument.spreadsheetml.comments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drawings/drawing11.xml" ContentType="application/vnd.openxmlformats-officedocument.drawing+xml"/>
  <Override PartName="/xl/comments8.xml" ContentType="application/vnd.openxmlformats-officedocument.spreadsheetml.comments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drawings/drawing12.xml" ContentType="application/vnd.openxmlformats-officedocument.drawing+xml"/>
  <Override PartName="/xl/comments9.xml" ContentType="application/vnd.openxmlformats-officedocument.spreadsheetml.comments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drawings/drawing13.xml" ContentType="application/vnd.openxmlformats-officedocument.drawing+xml"/>
  <Override PartName="/xl/comments10.xml" ContentType="application/vnd.openxmlformats-officedocument.spreadsheetml.comments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drawings/drawing14.xml" ContentType="application/vnd.openxmlformats-officedocument.drawing+xml"/>
  <Override PartName="/xl/comments11.xml" ContentType="application/vnd.openxmlformats-officedocument.spreadsheetml.comments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drawings/drawing15.xml" ContentType="application/vnd.openxmlformats-officedocument.drawing+xml"/>
  <Override PartName="/xl/comments12.xml" ContentType="application/vnd.openxmlformats-officedocument.spreadsheetml.comments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drawings/drawing16.xml" ContentType="application/vnd.openxmlformats-officedocument.drawing+xml"/>
  <Override PartName="/xl/comments13.xml" ContentType="application/vnd.openxmlformats-officedocument.spreadsheetml.comments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drawings/drawing17.xml" ContentType="application/vnd.openxmlformats-officedocument.drawing+xml"/>
  <Override PartName="/xl/comments14.xml" ContentType="application/vnd.openxmlformats-officedocument.spreadsheetml.comments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drawings/drawing18.xml" ContentType="application/vnd.openxmlformats-officedocument.drawing+xml"/>
  <Override PartName="/xl/comments15.xml" ContentType="application/vnd.openxmlformats-officedocument.spreadsheetml.comments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drawings/drawing19.xml" ContentType="application/vnd.openxmlformats-officedocument.drawing+xml"/>
  <Override PartName="/xl/comments16.xml" ContentType="application/vnd.openxmlformats-officedocument.spreadsheetml.comments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drawings/drawing20.xml" ContentType="application/vnd.openxmlformats-officedocument.drawing+xml"/>
  <Override PartName="/xl/comments17.xml" ContentType="application/vnd.openxmlformats-officedocument.spreadsheetml.comments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drawings/drawing21.xml" ContentType="application/vnd.openxmlformats-officedocument.drawing+xml"/>
  <Override PartName="/xl/comments18.xml" ContentType="application/vnd.openxmlformats-officedocument.spreadsheetml.comments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drawings/drawing22.xml" ContentType="application/vnd.openxmlformats-officedocument.drawing+xml"/>
  <Override PartName="/xl/comments19.xml" ContentType="application/vnd.openxmlformats-officedocument.spreadsheetml.comments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drawings/drawing23.xml" ContentType="application/vnd.openxmlformats-officedocument.drawing+xml"/>
  <Override PartName="/xl/comments20.xml" ContentType="application/vnd.openxmlformats-officedocument.spreadsheetml.comments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drawings/drawing24.xml" ContentType="application/vnd.openxmlformats-officedocument.drawing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drawings/drawing25.xml" ContentType="application/vnd.openxmlformats-officedocument.drawing+xml"/>
  <Override PartName="/xl/charts/chart5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D:\monic\Documents\PRÁCTICAS PROFESIONALES\EXCEL PLANEACIÓN PROYECTO\ESTUDIOS\"/>
    </mc:Choice>
  </mc:AlternateContent>
  <xr:revisionPtr revIDLastSave="0" documentId="13_ncr:1_{505CBEAE-6CE0-442C-BFCB-E05A3A2C8F97}" xr6:coauthVersionLast="47" xr6:coauthVersionMax="47" xr10:uidLastSave="{00000000-0000-0000-0000-000000000000}"/>
  <bookViews>
    <workbookView xWindow="-108" yWindow="-108" windowWidth="23256" windowHeight="12456" tabRatio="907" firstSheet="2" activeTab="3" xr2:uid="{00000000-000D-0000-FFFF-FFFF00000000}"/>
  </bookViews>
  <sheets>
    <sheet name="Resumen de Demandas Bancos" sheetId="47" r:id="rId1"/>
    <sheet name="Comportamiento Grafico SE`S" sheetId="36" r:id="rId2"/>
    <sheet name="Comportamiento Mensual Bancos" sheetId="38" r:id="rId3"/>
    <sheet name="CIRCUITOS" sheetId="51" r:id="rId4"/>
    <sheet name="BANCOS" sheetId="52" r:id="rId5"/>
    <sheet name="SE. AHKIMPECH" sheetId="28" r:id="rId6"/>
    <sheet name="S.E CHICBUL" sheetId="14" r:id="rId7"/>
    <sheet name="S.E CALKINI" sheetId="10" r:id="rId8"/>
    <sheet name="S.E CHAMPOTON" sheetId="2" r:id="rId9"/>
    <sheet name="S.E CAYAL" sheetId="4" r:id="rId10"/>
    <sheet name="S.E ESCARCEGA" sheetId="12" r:id="rId11"/>
    <sheet name="S.E HECELCHAKAN" sheetId="8" r:id="rId12"/>
    <sheet name="S.E KALA" sheetId="11" r:id="rId13"/>
    <sheet name="S.E LERMA" sheetId="6" r:id="rId14"/>
    <sheet name="S.E SAMULA II" sheetId="7" r:id="rId15"/>
    <sheet name="S.E SAMULA SF6" sheetId="41" r:id="rId16"/>
    <sheet name="S.E SABANCUY" sheetId="33" r:id="rId17"/>
    <sheet name="S.E HOPELCHEN DOS" sheetId="42" r:id="rId18"/>
    <sheet name="S.E CANDELARIA DOS" sheetId="43" r:id="rId19"/>
    <sheet name="SE. SIHOCHAC" sheetId="30" r:id="rId20"/>
    <sheet name="S.E XPUJIL" sheetId="26" r:id="rId21"/>
    <sheet name="S.E HOPELCHEN" sheetId="21" r:id="rId22"/>
    <sheet name="S.E SAMUEL" sheetId="22" r:id="rId23"/>
    <sheet name="S.E CANDELARIA" sheetId="24" r:id="rId24"/>
    <sheet name="S.E SEYBAPLAYA" sheetId="23" r:id="rId25"/>
    <sheet name="ScaInit" sheetId="34" state="hidden" r:id="rId26"/>
    <sheet name="Demandas" sheetId="40" r:id="rId27"/>
    <sheet name="Reporte SIMOCE" sheetId="32" r:id="rId28"/>
    <sheet name="Hoja1" sheetId="48" r:id="rId29"/>
    <sheet name="Hoja2" sheetId="49" r:id="rId30"/>
    <sheet name="Hoja3" sheetId="50" r:id="rId31"/>
  </sheets>
  <definedNames>
    <definedName name="_xlnm._FilterDatabase" localSheetId="26" hidden="1">Demandas!$B$2:$Q$87</definedName>
    <definedName name="_xlnm._FilterDatabase" localSheetId="27" hidden="1">'Reporte SIMOCE'!$B$4:$O$92</definedName>
    <definedName name="_xlnm.Print_Area" localSheetId="1">'Comportamiento Grafico SE`S'!$B$9:$H$27</definedName>
    <definedName name="_xlnm.Print_Area" localSheetId="27">'Reporte SIMOCE'!$C$4:$K$64</definedName>
    <definedName name="_xlnm.Print_Area" localSheetId="0">'Resumen de Demandas Bancos'!$V$4:$AB$32</definedName>
    <definedName name="_xlnm.Print_Area" localSheetId="7">'S.E CALKINI'!$A$12:$M$53</definedName>
    <definedName name="_xlnm.Print_Area" localSheetId="23">'S.E CANDELARIA'!$A$12:$M$47</definedName>
    <definedName name="_xlnm.Print_Area" localSheetId="18">'S.E CANDELARIA DOS'!$A$12:$M$40</definedName>
    <definedName name="_xlnm.Print_Area" localSheetId="9">'S.E CAYAL'!$A$12:$M$87</definedName>
    <definedName name="_xlnm.Print_Area" localSheetId="8">'S.E CHAMPOTON'!$A$12:$M$93</definedName>
    <definedName name="_xlnm.Print_Area" localSheetId="6">'S.E CHICBUL'!$A$12:$M$40</definedName>
    <definedName name="_xlnm.Print_Area" localSheetId="10">'S.E ESCARCEGA'!$A$12:$M$94</definedName>
    <definedName name="_xlnm.Print_Area" localSheetId="11">'S.E HECELCHAKAN'!$A$12:$M$54</definedName>
    <definedName name="_xlnm.Print_Area" localSheetId="21">'S.E HOPELCHEN'!$A$12:$M$55</definedName>
    <definedName name="_xlnm.Print_Area" localSheetId="17">'S.E HOPELCHEN DOS'!$A$12:$M$40</definedName>
    <definedName name="_xlnm.Print_Area" localSheetId="12">'S.E KALA'!$A$12:$O$92</definedName>
    <definedName name="_xlnm.Print_Area" localSheetId="13">'S.E LERMA'!$A$12:$M$34</definedName>
    <definedName name="_xlnm.Print_Area" localSheetId="16">'S.E SABANCUY'!$A$12:$M$49</definedName>
    <definedName name="_xlnm.Print_Area" localSheetId="22">'S.E SAMUEL'!$A$12:$M$47</definedName>
    <definedName name="_xlnm.Print_Area" localSheetId="14">'S.E SAMULA II'!$A$12:$M$68</definedName>
    <definedName name="_xlnm.Print_Area" localSheetId="15">'S.E SAMULA SF6'!$A$12:$M$168</definedName>
    <definedName name="_xlnm.Print_Area" localSheetId="24">'S.E SEYBAPLAYA'!$A$12:$M$41</definedName>
    <definedName name="_xlnm.Print_Area" localSheetId="20">'S.E XPUJIL'!$A$12:$M$54</definedName>
    <definedName name="_xlnm.Print_Area" localSheetId="5">'SE. AHKIMPECH'!$A$12:$N$56</definedName>
    <definedName name="_xlnm.Print_Area" localSheetId="19">'SE. SIHOCHAC'!$A$12:$M$46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N37" i="23" l="1"/>
  <c r="M37" i="23"/>
  <c r="L37" i="23"/>
  <c r="K37" i="23"/>
  <c r="J37" i="23"/>
  <c r="I37" i="23"/>
  <c r="H37" i="23"/>
  <c r="N34" i="23"/>
  <c r="N36" i="23" s="1"/>
  <c r="M34" i="23"/>
  <c r="L34" i="23"/>
  <c r="K34" i="23"/>
  <c r="J34" i="23"/>
  <c r="I34" i="23"/>
  <c r="H34" i="23"/>
  <c r="K36" i="23"/>
  <c r="K38" i="23" s="1"/>
  <c r="L36" i="23"/>
  <c r="L38" i="23" s="1"/>
  <c r="M36" i="23"/>
  <c r="M38" i="23" s="1"/>
  <c r="N33" i="23"/>
  <c r="M21" i="38" s="1"/>
  <c r="M33" i="23"/>
  <c r="L33" i="23"/>
  <c r="K33" i="23"/>
  <c r="J33" i="23"/>
  <c r="I33" i="23"/>
  <c r="H33" i="23"/>
  <c r="M45" i="23"/>
  <c r="F37" i="23"/>
  <c r="E37" i="23"/>
  <c r="D37" i="23"/>
  <c r="D35" i="23" s="1"/>
  <c r="C37" i="23"/>
  <c r="B37" i="23"/>
  <c r="E35" i="23"/>
  <c r="F35" i="23"/>
  <c r="F34" i="23"/>
  <c r="E34" i="23"/>
  <c r="D34" i="23"/>
  <c r="C34" i="23"/>
  <c r="B34" i="23"/>
  <c r="E46" i="23"/>
  <c r="F46" i="23"/>
  <c r="F33" i="23"/>
  <c r="E33" i="23"/>
  <c r="D33" i="23"/>
  <c r="C33" i="23"/>
  <c r="B33" i="23"/>
  <c r="E21" i="38"/>
  <c r="G37" i="23"/>
  <c r="G34" i="23"/>
  <c r="G33" i="23"/>
  <c r="G24" i="23"/>
  <c r="N24" i="23"/>
  <c r="M24" i="23"/>
  <c r="L24" i="23"/>
  <c r="K24" i="23"/>
  <c r="J24" i="23"/>
  <c r="I24" i="23"/>
  <c r="I22" i="23" s="1"/>
  <c r="H24" i="23"/>
  <c r="H22" i="23" s="1"/>
  <c r="F24" i="23"/>
  <c r="E24" i="23"/>
  <c r="D24" i="23"/>
  <c r="C24" i="23"/>
  <c r="B24" i="23"/>
  <c r="B22" i="23" s="1"/>
  <c r="C22" i="23"/>
  <c r="B20" i="23"/>
  <c r="N21" i="23"/>
  <c r="M21" i="23"/>
  <c r="L21" i="23"/>
  <c r="K21" i="23"/>
  <c r="J21" i="23"/>
  <c r="I21" i="23"/>
  <c r="I23" i="23" s="1"/>
  <c r="I25" i="23" s="1"/>
  <c r="H21" i="23"/>
  <c r="H23" i="23" s="1"/>
  <c r="H25" i="23" s="1"/>
  <c r="G21" i="23"/>
  <c r="G23" i="23" s="1"/>
  <c r="F21" i="23"/>
  <c r="E21" i="23"/>
  <c r="D21" i="23"/>
  <c r="C21" i="23"/>
  <c r="B21" i="23"/>
  <c r="N20" i="23"/>
  <c r="N29" i="23" s="1"/>
  <c r="M20" i="23"/>
  <c r="P43" i="40" s="1"/>
  <c r="L20" i="23"/>
  <c r="L22" i="23" s="1"/>
  <c r="K20" i="23"/>
  <c r="J20" i="23"/>
  <c r="I20" i="23"/>
  <c r="H20" i="23"/>
  <c r="G20" i="23"/>
  <c r="G22" i="23" s="1"/>
  <c r="F20" i="23"/>
  <c r="F22" i="23" s="1"/>
  <c r="E20" i="23"/>
  <c r="E22" i="23" s="1"/>
  <c r="D20" i="23"/>
  <c r="D22" i="23" s="1"/>
  <c r="C20" i="23"/>
  <c r="B17" i="23"/>
  <c r="N17" i="23"/>
  <c r="M17" i="23"/>
  <c r="L17" i="23"/>
  <c r="K17" i="23"/>
  <c r="J17" i="23"/>
  <c r="I17" i="23"/>
  <c r="H17" i="23"/>
  <c r="G17" i="23"/>
  <c r="F17" i="23"/>
  <c r="E17" i="23"/>
  <c r="D17" i="23"/>
  <c r="C17" i="23"/>
  <c r="B13" i="23"/>
  <c r="F42" i="40" s="1"/>
  <c r="N14" i="23"/>
  <c r="M14" i="23"/>
  <c r="M30" i="23" s="1"/>
  <c r="L14" i="23"/>
  <c r="L30" i="23" s="1"/>
  <c r="K14" i="23"/>
  <c r="K30" i="23" s="1"/>
  <c r="J14" i="23"/>
  <c r="I14" i="23"/>
  <c r="H14" i="23"/>
  <c r="H16" i="23" s="1"/>
  <c r="G14" i="23"/>
  <c r="G16" i="23" s="1"/>
  <c r="F14" i="23"/>
  <c r="F30" i="23" s="1"/>
  <c r="E14" i="23"/>
  <c r="E16" i="23" s="1"/>
  <c r="E18" i="23" s="1"/>
  <c r="D14" i="23"/>
  <c r="D16" i="23" s="1"/>
  <c r="C14" i="23"/>
  <c r="C16" i="23" s="1"/>
  <c r="B14" i="23"/>
  <c r="N13" i="23"/>
  <c r="M13" i="23"/>
  <c r="P42" i="40" s="1"/>
  <c r="L13" i="23"/>
  <c r="K13" i="23"/>
  <c r="N42" i="40" s="1"/>
  <c r="J13" i="23"/>
  <c r="J18" i="23" s="1"/>
  <c r="I13" i="23"/>
  <c r="H13" i="23"/>
  <c r="G13" i="23"/>
  <c r="F13" i="23"/>
  <c r="E13" i="23"/>
  <c r="H42" i="40" s="1"/>
  <c r="D13" i="23"/>
  <c r="C13" i="23"/>
  <c r="C29" i="23" s="1"/>
  <c r="C39" i="23" s="1"/>
  <c r="G43" i="24"/>
  <c r="N43" i="24"/>
  <c r="M43" i="24"/>
  <c r="L43" i="24"/>
  <c r="K43" i="24"/>
  <c r="J43" i="24"/>
  <c r="I43" i="24"/>
  <c r="H43" i="24"/>
  <c r="G41" i="24"/>
  <c r="F43" i="24"/>
  <c r="E43" i="24"/>
  <c r="D43" i="24"/>
  <c r="C43" i="24"/>
  <c r="B43" i="24"/>
  <c r="B41" i="24" s="1"/>
  <c r="N40" i="24"/>
  <c r="M40" i="24"/>
  <c r="L40" i="24"/>
  <c r="K40" i="24"/>
  <c r="J40" i="24"/>
  <c r="I40" i="24"/>
  <c r="I42" i="24" s="1"/>
  <c r="H40" i="24"/>
  <c r="H42" i="24" s="1"/>
  <c r="G40" i="24"/>
  <c r="G42" i="24" s="1"/>
  <c r="F40" i="24"/>
  <c r="E40" i="24"/>
  <c r="D40" i="24"/>
  <c r="C40" i="24"/>
  <c r="C52" i="24" s="1"/>
  <c r="B40" i="24"/>
  <c r="O40" i="24" s="1"/>
  <c r="P42" i="24" s="1"/>
  <c r="N39" i="24"/>
  <c r="M28" i="38" s="1"/>
  <c r="M39" i="24"/>
  <c r="L28" i="38" s="1"/>
  <c r="L39" i="24"/>
  <c r="L51" i="24" s="1"/>
  <c r="L55" i="24" s="1"/>
  <c r="L56" i="24" s="1"/>
  <c r="K39" i="24"/>
  <c r="J39" i="24"/>
  <c r="I39" i="24"/>
  <c r="H39" i="24"/>
  <c r="G39" i="24"/>
  <c r="F39" i="24"/>
  <c r="E39" i="24"/>
  <c r="D28" i="38" s="1"/>
  <c r="D39" i="24"/>
  <c r="D41" i="24" s="1"/>
  <c r="C39" i="24"/>
  <c r="B39" i="24"/>
  <c r="B40" i="22"/>
  <c r="N31" i="24"/>
  <c r="M31" i="24"/>
  <c r="L31" i="24"/>
  <c r="K31" i="24"/>
  <c r="J31" i="24"/>
  <c r="J29" i="24" s="1"/>
  <c r="I31" i="24"/>
  <c r="I29" i="24" s="1"/>
  <c r="H31" i="24"/>
  <c r="H29" i="24" s="1"/>
  <c r="G31" i="24"/>
  <c r="F31" i="24"/>
  <c r="E31" i="24"/>
  <c r="D31" i="24"/>
  <c r="C31" i="24"/>
  <c r="C29" i="24" s="1"/>
  <c r="B31" i="24"/>
  <c r="B27" i="24"/>
  <c r="N28" i="24"/>
  <c r="M28" i="24"/>
  <c r="L28" i="24"/>
  <c r="K28" i="24"/>
  <c r="J28" i="24"/>
  <c r="J30" i="24" s="1"/>
  <c r="I28" i="24"/>
  <c r="I30" i="24" s="1"/>
  <c r="H28" i="24"/>
  <c r="H30" i="24" s="1"/>
  <c r="G28" i="24"/>
  <c r="O28" i="24" s="1"/>
  <c r="F28" i="24"/>
  <c r="E28" i="24"/>
  <c r="D28" i="24"/>
  <c r="C28" i="24"/>
  <c r="B28" i="24"/>
  <c r="B30" i="24" s="1"/>
  <c r="N27" i="24"/>
  <c r="M27" i="24"/>
  <c r="L27" i="24"/>
  <c r="O70" i="40" s="1"/>
  <c r="K27" i="24"/>
  <c r="J27" i="24"/>
  <c r="I27" i="24"/>
  <c r="H27" i="24"/>
  <c r="G27" i="24"/>
  <c r="J70" i="40" s="1"/>
  <c r="F27" i="24"/>
  <c r="I70" i="40" s="1"/>
  <c r="E27" i="24"/>
  <c r="H70" i="40" s="1"/>
  <c r="D27" i="24"/>
  <c r="G70" i="40" s="1"/>
  <c r="C27" i="24"/>
  <c r="Q70" i="40"/>
  <c r="P70" i="40"/>
  <c r="N24" i="24"/>
  <c r="M24" i="24"/>
  <c r="L24" i="24"/>
  <c r="K24" i="24"/>
  <c r="K22" i="24" s="1"/>
  <c r="J24" i="24"/>
  <c r="J22" i="24" s="1"/>
  <c r="I24" i="24"/>
  <c r="I22" i="24" s="1"/>
  <c r="H24" i="24"/>
  <c r="G24" i="24"/>
  <c r="F24" i="24"/>
  <c r="E24" i="24"/>
  <c r="D24" i="24"/>
  <c r="C24" i="24"/>
  <c r="B24" i="24"/>
  <c r="N21" i="24"/>
  <c r="M21" i="24"/>
  <c r="L21" i="24"/>
  <c r="K21" i="24"/>
  <c r="J21" i="24"/>
  <c r="J23" i="24" s="1"/>
  <c r="I21" i="24"/>
  <c r="H21" i="24"/>
  <c r="H23" i="24" s="1"/>
  <c r="G21" i="24"/>
  <c r="G23" i="24" s="1"/>
  <c r="F21" i="24"/>
  <c r="E21" i="24"/>
  <c r="D21" i="24"/>
  <c r="C21" i="24"/>
  <c r="B21" i="24"/>
  <c r="N20" i="24"/>
  <c r="Q69" i="40" s="1"/>
  <c r="M20" i="24"/>
  <c r="M22" i="24" s="1"/>
  <c r="L20" i="24"/>
  <c r="K20" i="24"/>
  <c r="J20" i="24"/>
  <c r="I20" i="24"/>
  <c r="H20" i="24"/>
  <c r="K69" i="40" s="1"/>
  <c r="G20" i="24"/>
  <c r="J69" i="40" s="1"/>
  <c r="F20" i="24"/>
  <c r="I69" i="40" s="1"/>
  <c r="E20" i="24"/>
  <c r="D20" i="24"/>
  <c r="G69" i="40" s="1"/>
  <c r="C20" i="24"/>
  <c r="B20" i="24"/>
  <c r="N17" i="24"/>
  <c r="M17" i="24"/>
  <c r="L17" i="24"/>
  <c r="K17" i="24"/>
  <c r="K15" i="24" s="1"/>
  <c r="J17" i="24"/>
  <c r="J15" i="24" s="1"/>
  <c r="I17" i="24"/>
  <c r="I15" i="24" s="1"/>
  <c r="H17" i="24"/>
  <c r="G17" i="24"/>
  <c r="F17" i="24"/>
  <c r="E17" i="24"/>
  <c r="D17" i="24"/>
  <c r="C17" i="24"/>
  <c r="B17" i="24"/>
  <c r="B15" i="24" s="1"/>
  <c r="N14" i="24"/>
  <c r="N37" i="24" s="1"/>
  <c r="M14" i="24"/>
  <c r="L14" i="24"/>
  <c r="K14" i="24"/>
  <c r="J14" i="24"/>
  <c r="J16" i="24" s="1"/>
  <c r="I14" i="24"/>
  <c r="H14" i="24"/>
  <c r="G14" i="24"/>
  <c r="G16" i="24" s="1"/>
  <c r="F14" i="24"/>
  <c r="F37" i="24" s="1"/>
  <c r="E14" i="24"/>
  <c r="D14" i="24"/>
  <c r="C14" i="24"/>
  <c r="B14" i="24"/>
  <c r="N13" i="24"/>
  <c r="M13" i="24"/>
  <c r="M15" i="24" s="1"/>
  <c r="L13" i="24"/>
  <c r="L15" i="24" s="1"/>
  <c r="K13" i="24"/>
  <c r="N68" i="40" s="1"/>
  <c r="J13" i="24"/>
  <c r="I13" i="24"/>
  <c r="H13" i="24"/>
  <c r="K68" i="40" s="1"/>
  <c r="G13" i="24"/>
  <c r="F13" i="24"/>
  <c r="E13" i="24"/>
  <c r="E15" i="24" s="1"/>
  <c r="D13" i="24"/>
  <c r="D15" i="24" s="1"/>
  <c r="C13" i="24"/>
  <c r="C36" i="24" s="1"/>
  <c r="C45" i="24" s="1"/>
  <c r="B13" i="24"/>
  <c r="N43" i="22"/>
  <c r="M43" i="22"/>
  <c r="L43" i="22"/>
  <c r="K43" i="22"/>
  <c r="K41" i="22" s="1"/>
  <c r="J43" i="22"/>
  <c r="I43" i="22"/>
  <c r="H43" i="22"/>
  <c r="N40" i="22"/>
  <c r="N52" i="22" s="1"/>
  <c r="M40" i="22"/>
  <c r="L40" i="22"/>
  <c r="K40" i="22"/>
  <c r="K42" i="22" s="1"/>
  <c r="K44" i="22" s="1"/>
  <c r="J40" i="22"/>
  <c r="I40" i="22"/>
  <c r="H40" i="22"/>
  <c r="J42" i="22"/>
  <c r="J44" i="22" s="1"/>
  <c r="L52" i="22"/>
  <c r="M42" i="22"/>
  <c r="M44" i="22" s="1"/>
  <c r="N39" i="22"/>
  <c r="M27" i="38" s="1"/>
  <c r="M39" i="22"/>
  <c r="L39" i="22"/>
  <c r="K39" i="22"/>
  <c r="J39" i="22"/>
  <c r="I39" i="22"/>
  <c r="H39" i="22"/>
  <c r="M51" i="22"/>
  <c r="F43" i="22"/>
  <c r="E43" i="22"/>
  <c r="D43" i="22"/>
  <c r="C43" i="22"/>
  <c r="B43" i="22"/>
  <c r="F40" i="22"/>
  <c r="E40" i="22"/>
  <c r="D40" i="22"/>
  <c r="C40" i="22"/>
  <c r="E42" i="22"/>
  <c r="E44" i="22" s="1"/>
  <c r="F39" i="22"/>
  <c r="E39" i="22"/>
  <c r="D39" i="22"/>
  <c r="C39" i="22"/>
  <c r="B39" i="22"/>
  <c r="G43" i="22"/>
  <c r="G40" i="22"/>
  <c r="G39" i="22"/>
  <c r="F27" i="38" s="1"/>
  <c r="N31" i="22"/>
  <c r="N29" i="22" s="1"/>
  <c r="M31" i="22"/>
  <c r="M29" i="22" s="1"/>
  <c r="L31" i="22"/>
  <c r="K31" i="22"/>
  <c r="J31" i="22"/>
  <c r="I31" i="22"/>
  <c r="I29" i="22" s="1"/>
  <c r="H31" i="22"/>
  <c r="H29" i="22" s="1"/>
  <c r="G31" i="22"/>
  <c r="F31" i="22"/>
  <c r="E31" i="22"/>
  <c r="D31" i="22"/>
  <c r="C31" i="22"/>
  <c r="B31" i="22"/>
  <c r="G27" i="22"/>
  <c r="N28" i="22"/>
  <c r="M28" i="22"/>
  <c r="L28" i="22"/>
  <c r="K28" i="22"/>
  <c r="J28" i="22"/>
  <c r="I28" i="22"/>
  <c r="H28" i="22"/>
  <c r="G28" i="22"/>
  <c r="G30" i="22" s="1"/>
  <c r="F28" i="22"/>
  <c r="E28" i="22"/>
  <c r="D28" i="22"/>
  <c r="C28" i="22"/>
  <c r="B28" i="22"/>
  <c r="N27" i="22"/>
  <c r="M27" i="22"/>
  <c r="L27" i="22"/>
  <c r="O83" i="40" s="1"/>
  <c r="K27" i="22"/>
  <c r="J27" i="22"/>
  <c r="I27" i="22"/>
  <c r="H27" i="22"/>
  <c r="F27" i="22"/>
  <c r="E27" i="22"/>
  <c r="D27" i="22"/>
  <c r="C27" i="22"/>
  <c r="B27" i="22"/>
  <c r="C24" i="22"/>
  <c r="N24" i="22"/>
  <c r="M24" i="22"/>
  <c r="L24" i="22"/>
  <c r="K24" i="22"/>
  <c r="J24" i="22"/>
  <c r="I24" i="22"/>
  <c r="I22" i="22" s="1"/>
  <c r="H24" i="22"/>
  <c r="G24" i="22"/>
  <c r="F24" i="22"/>
  <c r="E24" i="22"/>
  <c r="D24" i="22"/>
  <c r="B24" i="22"/>
  <c r="N21" i="22"/>
  <c r="M21" i="22"/>
  <c r="L21" i="22"/>
  <c r="K21" i="22"/>
  <c r="K23" i="22" s="1"/>
  <c r="K25" i="22" s="1"/>
  <c r="J21" i="22"/>
  <c r="J23" i="22" s="1"/>
  <c r="J25" i="22" s="1"/>
  <c r="I21" i="22"/>
  <c r="I23" i="22" s="1"/>
  <c r="I25" i="22" s="1"/>
  <c r="H21" i="22"/>
  <c r="H23" i="22" s="1"/>
  <c r="H25" i="22" s="1"/>
  <c r="G21" i="22"/>
  <c r="P21" i="22" s="1"/>
  <c r="F21" i="22"/>
  <c r="E21" i="22"/>
  <c r="D21" i="22"/>
  <c r="C21" i="22"/>
  <c r="C36" i="22" s="1"/>
  <c r="B21" i="22"/>
  <c r="B23" i="22" s="1"/>
  <c r="B25" i="22" s="1"/>
  <c r="N20" i="22"/>
  <c r="Q82" i="40" s="1"/>
  <c r="M20" i="22"/>
  <c r="P82" i="40" s="1"/>
  <c r="L20" i="22"/>
  <c r="L22" i="22" s="1"/>
  <c r="K20" i="22"/>
  <c r="J20" i="22"/>
  <c r="I20" i="22"/>
  <c r="H20" i="22"/>
  <c r="G20" i="22"/>
  <c r="J82" i="40" s="1"/>
  <c r="F20" i="22"/>
  <c r="I82" i="40" s="1"/>
  <c r="E20" i="22"/>
  <c r="D20" i="22"/>
  <c r="P20" i="22" s="1"/>
  <c r="C20" i="22"/>
  <c r="B20" i="22"/>
  <c r="C23" i="22"/>
  <c r="C25" i="22" s="1"/>
  <c r="K82" i="40"/>
  <c r="E25" i="22"/>
  <c r="B17" i="22"/>
  <c r="B13" i="22"/>
  <c r="N17" i="22"/>
  <c r="M17" i="22"/>
  <c r="L17" i="22"/>
  <c r="K17" i="22"/>
  <c r="J17" i="22"/>
  <c r="I17" i="22"/>
  <c r="I15" i="22" s="1"/>
  <c r="H17" i="22"/>
  <c r="G17" i="22"/>
  <c r="F17" i="22"/>
  <c r="E17" i="22"/>
  <c r="D17" i="22"/>
  <c r="C17" i="22"/>
  <c r="N14" i="22"/>
  <c r="N36" i="22" s="1"/>
  <c r="M14" i="22"/>
  <c r="M36" i="22" s="1"/>
  <c r="L14" i="22"/>
  <c r="K14" i="22"/>
  <c r="K16" i="22" s="1"/>
  <c r="J14" i="22"/>
  <c r="I14" i="22"/>
  <c r="I16" i="22" s="1"/>
  <c r="H14" i="22"/>
  <c r="H16" i="22" s="1"/>
  <c r="G14" i="22"/>
  <c r="G16" i="22" s="1"/>
  <c r="F14" i="22"/>
  <c r="F16" i="22" s="1"/>
  <c r="F18" i="22" s="1"/>
  <c r="E14" i="22"/>
  <c r="E16" i="22" s="1"/>
  <c r="D14" i="22"/>
  <c r="C14" i="22"/>
  <c r="C16" i="22" s="1"/>
  <c r="B14" i="22"/>
  <c r="B16" i="22" s="1"/>
  <c r="N13" i="22"/>
  <c r="Q81" i="40" s="1"/>
  <c r="M13" i="22"/>
  <c r="M15" i="22" s="1"/>
  <c r="L13" i="22"/>
  <c r="L15" i="22" s="1"/>
  <c r="K13" i="22"/>
  <c r="N81" i="40" s="1"/>
  <c r="J13" i="22"/>
  <c r="J35" i="22" s="1"/>
  <c r="I13" i="22"/>
  <c r="L81" i="40" s="1"/>
  <c r="H13" i="22"/>
  <c r="K81" i="40" s="1"/>
  <c r="G13" i="22"/>
  <c r="J81" i="40" s="1"/>
  <c r="F13" i="22"/>
  <c r="F15" i="22" s="1"/>
  <c r="E13" i="22"/>
  <c r="H81" i="40" s="1"/>
  <c r="D13" i="22"/>
  <c r="D15" i="22" s="1"/>
  <c r="C13" i="22"/>
  <c r="C15" i="22" s="1"/>
  <c r="N15" i="22"/>
  <c r="N51" i="21"/>
  <c r="M51" i="21"/>
  <c r="M49" i="21" s="1"/>
  <c r="L51" i="21"/>
  <c r="L49" i="21" s="1"/>
  <c r="K51" i="21"/>
  <c r="K49" i="21" s="1"/>
  <c r="J51" i="21"/>
  <c r="I51" i="21"/>
  <c r="H51" i="21"/>
  <c r="N48" i="21"/>
  <c r="M48" i="21"/>
  <c r="L48" i="21"/>
  <c r="K48" i="21"/>
  <c r="J48" i="21"/>
  <c r="I48" i="21"/>
  <c r="H48" i="21"/>
  <c r="N47" i="21"/>
  <c r="N60" i="21" s="1"/>
  <c r="N65" i="21" s="1"/>
  <c r="N66" i="21" s="1"/>
  <c r="M47" i="21"/>
  <c r="L47" i="21"/>
  <c r="K47" i="21"/>
  <c r="J47" i="21"/>
  <c r="I47" i="21"/>
  <c r="H47" i="21"/>
  <c r="F51" i="21"/>
  <c r="E51" i="21"/>
  <c r="D51" i="21"/>
  <c r="C51" i="21"/>
  <c r="B51" i="21"/>
  <c r="B49" i="21" s="1"/>
  <c r="G48" i="21"/>
  <c r="F48" i="21"/>
  <c r="F50" i="21" s="1"/>
  <c r="E48" i="21"/>
  <c r="D48" i="21"/>
  <c r="C48" i="21"/>
  <c r="B48" i="21"/>
  <c r="F47" i="21"/>
  <c r="E47" i="21"/>
  <c r="D47" i="21"/>
  <c r="C47" i="21"/>
  <c r="C60" i="21" s="1"/>
  <c r="C65" i="21" s="1"/>
  <c r="B47" i="21"/>
  <c r="G51" i="21"/>
  <c r="G47" i="21"/>
  <c r="N38" i="21"/>
  <c r="M38" i="21"/>
  <c r="L38" i="21"/>
  <c r="K38" i="21"/>
  <c r="J38" i="21"/>
  <c r="J36" i="21" s="1"/>
  <c r="I38" i="21"/>
  <c r="I36" i="21" s="1"/>
  <c r="H38" i="21"/>
  <c r="H36" i="21" s="1"/>
  <c r="G38" i="21"/>
  <c r="F38" i="21"/>
  <c r="E38" i="21"/>
  <c r="D38" i="21"/>
  <c r="C38" i="21"/>
  <c r="C36" i="21" s="1"/>
  <c r="B38" i="21"/>
  <c r="N35" i="21"/>
  <c r="M35" i="21"/>
  <c r="L35" i="21"/>
  <c r="K35" i="21"/>
  <c r="J35" i="21"/>
  <c r="I35" i="21"/>
  <c r="H35" i="21"/>
  <c r="H37" i="21" s="1"/>
  <c r="H39" i="21" s="1"/>
  <c r="G35" i="21"/>
  <c r="P35" i="21" s="1"/>
  <c r="F35" i="21"/>
  <c r="E35" i="21"/>
  <c r="D35" i="21"/>
  <c r="C35" i="21"/>
  <c r="B35" i="21"/>
  <c r="N34" i="21"/>
  <c r="N36" i="21" s="1"/>
  <c r="M34" i="21"/>
  <c r="M36" i="21" s="1"/>
  <c r="L34" i="21"/>
  <c r="L36" i="21" s="1"/>
  <c r="K34" i="21"/>
  <c r="J34" i="21"/>
  <c r="I34" i="21"/>
  <c r="H34" i="21"/>
  <c r="G34" i="21"/>
  <c r="J63" i="40" s="1"/>
  <c r="F34" i="21"/>
  <c r="F36" i="21" s="1"/>
  <c r="E34" i="21"/>
  <c r="E36" i="21" s="1"/>
  <c r="D34" i="21"/>
  <c r="D36" i="21" s="1"/>
  <c r="C34" i="21"/>
  <c r="B34" i="21"/>
  <c r="N31" i="21"/>
  <c r="M31" i="21"/>
  <c r="L31" i="21"/>
  <c r="K31" i="21"/>
  <c r="K29" i="21" s="1"/>
  <c r="J31" i="21"/>
  <c r="I31" i="21"/>
  <c r="H31" i="21"/>
  <c r="G31" i="21"/>
  <c r="F31" i="21"/>
  <c r="E31" i="21"/>
  <c r="D31" i="21"/>
  <c r="C31" i="21"/>
  <c r="B31" i="21"/>
  <c r="B29" i="21" s="1"/>
  <c r="N28" i="21"/>
  <c r="M28" i="21"/>
  <c r="L28" i="21"/>
  <c r="L44" i="21" s="1"/>
  <c r="K28" i="21"/>
  <c r="K30" i="21" s="1"/>
  <c r="K32" i="21" s="1"/>
  <c r="J28" i="21"/>
  <c r="J30" i="21" s="1"/>
  <c r="J32" i="21" s="1"/>
  <c r="I28" i="21"/>
  <c r="I30" i="21" s="1"/>
  <c r="I32" i="21" s="1"/>
  <c r="H28" i="21"/>
  <c r="G28" i="21"/>
  <c r="G30" i="21" s="1"/>
  <c r="G32" i="21" s="1"/>
  <c r="F28" i="21"/>
  <c r="E28" i="21"/>
  <c r="D28" i="21"/>
  <c r="C28" i="21"/>
  <c r="B28" i="21"/>
  <c r="N27" i="21"/>
  <c r="Q62" i="40" s="1"/>
  <c r="M27" i="21"/>
  <c r="M29" i="21" s="1"/>
  <c r="L27" i="21"/>
  <c r="L29" i="21" s="1"/>
  <c r="K27" i="21"/>
  <c r="J27" i="21"/>
  <c r="I27" i="21"/>
  <c r="H27" i="21"/>
  <c r="G27" i="21"/>
  <c r="F27" i="21"/>
  <c r="I62" i="40" s="1"/>
  <c r="E27" i="21"/>
  <c r="H62" i="40" s="1"/>
  <c r="D27" i="21"/>
  <c r="G62" i="40" s="1"/>
  <c r="C27" i="21"/>
  <c r="B27" i="21"/>
  <c r="C30" i="21"/>
  <c r="C32" i="21" s="1"/>
  <c r="B30" i="21"/>
  <c r="B32" i="21" s="1"/>
  <c r="N24" i="21"/>
  <c r="M24" i="21"/>
  <c r="L24" i="21"/>
  <c r="K24" i="21"/>
  <c r="J24" i="21"/>
  <c r="J22" i="21" s="1"/>
  <c r="I24" i="21"/>
  <c r="I22" i="21" s="1"/>
  <c r="H24" i="21"/>
  <c r="H22" i="21" s="1"/>
  <c r="G24" i="21"/>
  <c r="F24" i="21"/>
  <c r="E24" i="21"/>
  <c r="D24" i="21"/>
  <c r="C24" i="21"/>
  <c r="B24" i="21"/>
  <c r="B22" i="21" s="1"/>
  <c r="N21" i="21"/>
  <c r="M21" i="21"/>
  <c r="L21" i="21"/>
  <c r="K21" i="21"/>
  <c r="J21" i="21"/>
  <c r="J23" i="21" s="1"/>
  <c r="J25" i="21" s="1"/>
  <c r="I21" i="21"/>
  <c r="I23" i="21" s="1"/>
  <c r="I25" i="21" s="1"/>
  <c r="H21" i="21"/>
  <c r="H23" i="21" s="1"/>
  <c r="H25" i="21" s="1"/>
  <c r="G21" i="21"/>
  <c r="G23" i="21" s="1"/>
  <c r="F21" i="21"/>
  <c r="E21" i="21"/>
  <c r="D21" i="21"/>
  <c r="C21" i="21"/>
  <c r="B21" i="21"/>
  <c r="B23" i="21" s="1"/>
  <c r="B25" i="21" s="1"/>
  <c r="N20" i="21"/>
  <c r="Q61" i="40" s="1"/>
  <c r="M20" i="21"/>
  <c r="M22" i="21" s="1"/>
  <c r="L20" i="21"/>
  <c r="L22" i="21" s="1"/>
  <c r="K20" i="21"/>
  <c r="J20" i="21"/>
  <c r="I20" i="21"/>
  <c r="H20" i="21"/>
  <c r="K61" i="40" s="1"/>
  <c r="G20" i="21"/>
  <c r="J61" i="40" s="1"/>
  <c r="F20" i="21"/>
  <c r="I61" i="40" s="1"/>
  <c r="E20" i="21"/>
  <c r="E22" i="21" s="1"/>
  <c r="D20" i="21"/>
  <c r="D22" i="21" s="1"/>
  <c r="C20" i="21"/>
  <c r="B20" i="21"/>
  <c r="G13" i="21"/>
  <c r="N17" i="21"/>
  <c r="M17" i="21"/>
  <c r="L17" i="21"/>
  <c r="K17" i="21"/>
  <c r="J17" i="21"/>
  <c r="I17" i="21"/>
  <c r="I15" i="21" s="1"/>
  <c r="H17" i="21"/>
  <c r="H15" i="21" s="1"/>
  <c r="G17" i="21"/>
  <c r="F17" i="21"/>
  <c r="E17" i="21"/>
  <c r="D17" i="21"/>
  <c r="C17" i="21"/>
  <c r="C15" i="21" s="1"/>
  <c r="B17" i="21"/>
  <c r="N14" i="21"/>
  <c r="M14" i="21"/>
  <c r="L14" i="21"/>
  <c r="K14" i="21"/>
  <c r="J14" i="21"/>
  <c r="I14" i="21"/>
  <c r="I16" i="21" s="1"/>
  <c r="I18" i="21" s="1"/>
  <c r="H14" i="21"/>
  <c r="H16" i="21" s="1"/>
  <c r="H18" i="21" s="1"/>
  <c r="G14" i="21"/>
  <c r="G16" i="21" s="1"/>
  <c r="F14" i="21"/>
  <c r="E14" i="21"/>
  <c r="D14" i="21"/>
  <c r="C14" i="21"/>
  <c r="B14" i="21"/>
  <c r="N13" i="21"/>
  <c r="N15" i="21" s="1"/>
  <c r="M13" i="21"/>
  <c r="M15" i="21" s="1"/>
  <c r="L13" i="21"/>
  <c r="L15" i="21" s="1"/>
  <c r="K13" i="21"/>
  <c r="J13" i="21"/>
  <c r="I13" i="21"/>
  <c r="H13" i="21"/>
  <c r="F13" i="21"/>
  <c r="E13" i="21"/>
  <c r="D13" i="21"/>
  <c r="C13" i="21"/>
  <c r="B13" i="21"/>
  <c r="N50" i="26"/>
  <c r="M50" i="26"/>
  <c r="L50" i="26"/>
  <c r="K50" i="26"/>
  <c r="J50" i="26"/>
  <c r="I50" i="26"/>
  <c r="H50" i="26"/>
  <c r="N47" i="26"/>
  <c r="M47" i="26"/>
  <c r="L47" i="26"/>
  <c r="K47" i="26"/>
  <c r="J47" i="26"/>
  <c r="I47" i="26"/>
  <c r="H47" i="26"/>
  <c r="M49" i="26"/>
  <c r="N49" i="26"/>
  <c r="N46" i="26"/>
  <c r="M46" i="26"/>
  <c r="L46" i="26"/>
  <c r="L58" i="26" s="1"/>
  <c r="K46" i="26"/>
  <c r="J46" i="26"/>
  <c r="J48" i="26" s="1"/>
  <c r="I46" i="26"/>
  <c r="H46" i="26"/>
  <c r="L26" i="38"/>
  <c r="N58" i="26"/>
  <c r="F50" i="26"/>
  <c r="E50" i="26"/>
  <c r="E48" i="26" s="1"/>
  <c r="D50" i="26"/>
  <c r="C50" i="26"/>
  <c r="B50" i="26"/>
  <c r="F47" i="26"/>
  <c r="E47" i="26"/>
  <c r="D47" i="26"/>
  <c r="C47" i="26"/>
  <c r="B47" i="26"/>
  <c r="F49" i="26"/>
  <c r="F51" i="26" s="1"/>
  <c r="F46" i="26"/>
  <c r="E46" i="26"/>
  <c r="D46" i="26"/>
  <c r="C46" i="26"/>
  <c r="B46" i="26"/>
  <c r="G50" i="26"/>
  <c r="G47" i="26"/>
  <c r="G46" i="26"/>
  <c r="B38" i="26"/>
  <c r="N38" i="26"/>
  <c r="M38" i="26"/>
  <c r="L38" i="26"/>
  <c r="K38" i="26"/>
  <c r="K36" i="26" s="1"/>
  <c r="J38" i="26"/>
  <c r="J36" i="26" s="1"/>
  <c r="I38" i="26"/>
  <c r="H38" i="26"/>
  <c r="G38" i="26"/>
  <c r="F38" i="26"/>
  <c r="E38" i="26"/>
  <c r="D38" i="26"/>
  <c r="C38" i="26"/>
  <c r="B35" i="26"/>
  <c r="B34" i="26"/>
  <c r="N35" i="26"/>
  <c r="M35" i="26"/>
  <c r="L35" i="26"/>
  <c r="K35" i="26"/>
  <c r="J35" i="26"/>
  <c r="J37" i="26" s="1"/>
  <c r="J39" i="26" s="1"/>
  <c r="I35" i="26"/>
  <c r="H35" i="26"/>
  <c r="H37" i="26" s="1"/>
  <c r="H39" i="26" s="1"/>
  <c r="G35" i="26"/>
  <c r="G37" i="26" s="1"/>
  <c r="F35" i="26"/>
  <c r="E35" i="26"/>
  <c r="D35" i="26"/>
  <c r="C35" i="26"/>
  <c r="O35" i="26"/>
  <c r="N34" i="26"/>
  <c r="M34" i="26"/>
  <c r="P80" i="40" s="1"/>
  <c r="L34" i="26"/>
  <c r="O80" i="40" s="1"/>
  <c r="K34" i="26"/>
  <c r="J34" i="26"/>
  <c r="I34" i="26"/>
  <c r="H34" i="26"/>
  <c r="G34" i="26"/>
  <c r="F34" i="26"/>
  <c r="E34" i="26"/>
  <c r="E36" i="26" s="1"/>
  <c r="D34" i="26"/>
  <c r="D36" i="26" s="1"/>
  <c r="C34" i="26"/>
  <c r="B31" i="26"/>
  <c r="N31" i="26"/>
  <c r="M31" i="26"/>
  <c r="L31" i="26"/>
  <c r="K31" i="26"/>
  <c r="J31" i="26"/>
  <c r="I31" i="26"/>
  <c r="H31" i="26"/>
  <c r="G31" i="26"/>
  <c r="F31" i="26"/>
  <c r="E31" i="26"/>
  <c r="D31" i="26"/>
  <c r="C31" i="26"/>
  <c r="B27" i="26"/>
  <c r="N28" i="26"/>
  <c r="M28" i="26"/>
  <c r="L28" i="26"/>
  <c r="K28" i="26"/>
  <c r="J28" i="26"/>
  <c r="I28" i="26"/>
  <c r="I30" i="26" s="1"/>
  <c r="I32" i="26" s="1"/>
  <c r="H28" i="26"/>
  <c r="H30" i="26" s="1"/>
  <c r="H32" i="26" s="1"/>
  <c r="G28" i="26"/>
  <c r="F28" i="26"/>
  <c r="E28" i="26"/>
  <c r="D28" i="26"/>
  <c r="C28" i="26"/>
  <c r="B28" i="26"/>
  <c r="N27" i="26"/>
  <c r="M27" i="26"/>
  <c r="L27" i="26"/>
  <c r="O79" i="40" s="1"/>
  <c r="K27" i="26"/>
  <c r="J27" i="26"/>
  <c r="I27" i="26"/>
  <c r="H27" i="26"/>
  <c r="G27" i="26"/>
  <c r="J79" i="40" s="1"/>
  <c r="F27" i="26"/>
  <c r="F43" i="26" s="1"/>
  <c r="E27" i="26"/>
  <c r="D27" i="26"/>
  <c r="G79" i="40" s="1"/>
  <c r="C27" i="26"/>
  <c r="B24" i="26"/>
  <c r="B22" i="26" s="1"/>
  <c r="N24" i="26"/>
  <c r="M24" i="26"/>
  <c r="L24" i="26"/>
  <c r="K24" i="26"/>
  <c r="J24" i="26"/>
  <c r="I24" i="26"/>
  <c r="I22" i="26" s="1"/>
  <c r="H24" i="26"/>
  <c r="H22" i="26" s="1"/>
  <c r="G24" i="26"/>
  <c r="F24" i="26"/>
  <c r="E24" i="26"/>
  <c r="D24" i="26"/>
  <c r="C24" i="26"/>
  <c r="C22" i="26" s="1"/>
  <c r="B20" i="26"/>
  <c r="N21" i="26"/>
  <c r="M21" i="26"/>
  <c r="L21" i="26"/>
  <c r="K21" i="26"/>
  <c r="J21" i="26"/>
  <c r="I21" i="26"/>
  <c r="H21" i="26"/>
  <c r="H23" i="26" s="1"/>
  <c r="H25" i="26" s="1"/>
  <c r="G21" i="26"/>
  <c r="P21" i="26" s="1"/>
  <c r="F21" i="26"/>
  <c r="E21" i="26"/>
  <c r="D21" i="26"/>
  <c r="C21" i="26"/>
  <c r="B21" i="26"/>
  <c r="N20" i="26"/>
  <c r="M20" i="26"/>
  <c r="M22" i="26" s="1"/>
  <c r="L20" i="26"/>
  <c r="L22" i="26" s="1"/>
  <c r="K20" i="26"/>
  <c r="J20" i="26"/>
  <c r="I20" i="26"/>
  <c r="H20" i="26"/>
  <c r="G20" i="26"/>
  <c r="J78" i="40" s="1"/>
  <c r="F20" i="26"/>
  <c r="E20" i="26"/>
  <c r="E22" i="26" s="1"/>
  <c r="D20" i="26"/>
  <c r="D22" i="26" s="1"/>
  <c r="C20" i="26"/>
  <c r="N17" i="26"/>
  <c r="M17" i="26"/>
  <c r="L17" i="26"/>
  <c r="K17" i="26"/>
  <c r="J17" i="26"/>
  <c r="J15" i="26" s="1"/>
  <c r="I17" i="26"/>
  <c r="H17" i="26"/>
  <c r="G17" i="26"/>
  <c r="F17" i="26"/>
  <c r="E17" i="26"/>
  <c r="D17" i="26"/>
  <c r="C17" i="26"/>
  <c r="B17" i="26"/>
  <c r="N14" i="26"/>
  <c r="M14" i="26"/>
  <c r="L14" i="26"/>
  <c r="K14" i="26"/>
  <c r="K16" i="26" s="1"/>
  <c r="K18" i="26" s="1"/>
  <c r="J14" i="26"/>
  <c r="I14" i="26"/>
  <c r="I44" i="26" s="1"/>
  <c r="H14" i="26"/>
  <c r="H16" i="26" s="1"/>
  <c r="H18" i="26" s="1"/>
  <c r="G14" i="26"/>
  <c r="G16" i="26" s="1"/>
  <c r="F14" i="26"/>
  <c r="E14" i="26"/>
  <c r="D14" i="26"/>
  <c r="C14" i="26"/>
  <c r="C16" i="26" s="1"/>
  <c r="C18" i="26" s="1"/>
  <c r="B14" i="26"/>
  <c r="N13" i="26"/>
  <c r="M13" i="26"/>
  <c r="M15" i="26" s="1"/>
  <c r="L13" i="26"/>
  <c r="K13" i="26"/>
  <c r="J13" i="26"/>
  <c r="I13" i="26"/>
  <c r="L77" i="40" s="1"/>
  <c r="H13" i="26"/>
  <c r="K77" i="40" s="1"/>
  <c r="G13" i="26"/>
  <c r="F13" i="26"/>
  <c r="I77" i="40" s="1"/>
  <c r="E13" i="26"/>
  <c r="E15" i="26" s="1"/>
  <c r="D13" i="26"/>
  <c r="G77" i="40" s="1"/>
  <c r="C13" i="26"/>
  <c r="B13" i="26"/>
  <c r="N65" i="30"/>
  <c r="M65" i="30"/>
  <c r="L65" i="30"/>
  <c r="K65" i="30"/>
  <c r="J65" i="30"/>
  <c r="I65" i="30"/>
  <c r="H65" i="30"/>
  <c r="N62" i="30"/>
  <c r="M62" i="30"/>
  <c r="M64" i="30" s="1"/>
  <c r="L62" i="30"/>
  <c r="K62" i="30"/>
  <c r="K64" i="30" s="1"/>
  <c r="J62" i="30"/>
  <c r="I62" i="30"/>
  <c r="H62" i="30"/>
  <c r="N61" i="30"/>
  <c r="M61" i="30"/>
  <c r="L61" i="30"/>
  <c r="K61" i="30"/>
  <c r="J61" i="30"/>
  <c r="I61" i="30"/>
  <c r="H61" i="30"/>
  <c r="G65" i="30"/>
  <c r="G63" i="30" s="1"/>
  <c r="F65" i="30"/>
  <c r="E65" i="30"/>
  <c r="D65" i="30"/>
  <c r="C65" i="30"/>
  <c r="B65" i="30"/>
  <c r="F62" i="30"/>
  <c r="E62" i="30"/>
  <c r="D62" i="30"/>
  <c r="C62" i="30"/>
  <c r="B62" i="30"/>
  <c r="F61" i="30"/>
  <c r="E61" i="30"/>
  <c r="D61" i="30"/>
  <c r="C61" i="30"/>
  <c r="B61" i="30"/>
  <c r="F67" i="30"/>
  <c r="G62" i="30"/>
  <c r="G64" i="30" s="1"/>
  <c r="G66" i="30" s="1"/>
  <c r="G61" i="30"/>
  <c r="N54" i="30"/>
  <c r="M54" i="30"/>
  <c r="L54" i="30"/>
  <c r="K54" i="30"/>
  <c r="J54" i="30"/>
  <c r="I54" i="30"/>
  <c r="I52" i="30" s="1"/>
  <c r="H54" i="30"/>
  <c r="K52" i="30"/>
  <c r="N51" i="30"/>
  <c r="N53" i="30" s="1"/>
  <c r="M51" i="30"/>
  <c r="L51" i="30"/>
  <c r="K51" i="30"/>
  <c r="J51" i="30"/>
  <c r="I51" i="30"/>
  <c r="H51" i="30"/>
  <c r="M59" i="30"/>
  <c r="N50" i="30"/>
  <c r="M50" i="30"/>
  <c r="L50" i="30"/>
  <c r="K50" i="30"/>
  <c r="J50" i="30"/>
  <c r="I50" i="30"/>
  <c r="H50" i="30"/>
  <c r="N42" i="30"/>
  <c r="M42" i="30"/>
  <c r="L42" i="30"/>
  <c r="K42" i="30"/>
  <c r="J42" i="30"/>
  <c r="I42" i="30"/>
  <c r="H42" i="30"/>
  <c r="N39" i="30"/>
  <c r="M39" i="30"/>
  <c r="L39" i="30"/>
  <c r="K39" i="30"/>
  <c r="J39" i="30"/>
  <c r="I39" i="30"/>
  <c r="H39" i="30"/>
  <c r="N38" i="30"/>
  <c r="M38" i="30"/>
  <c r="L38" i="30"/>
  <c r="K38" i="30"/>
  <c r="J38" i="30"/>
  <c r="I38" i="30"/>
  <c r="H38" i="30"/>
  <c r="G54" i="30"/>
  <c r="F54" i="30"/>
  <c r="E54" i="30"/>
  <c r="D54" i="30"/>
  <c r="C54" i="30"/>
  <c r="B54" i="30"/>
  <c r="F51" i="30"/>
  <c r="E51" i="30"/>
  <c r="D51" i="30"/>
  <c r="C51" i="30"/>
  <c r="B51" i="30"/>
  <c r="F50" i="30"/>
  <c r="E50" i="30"/>
  <c r="D50" i="30"/>
  <c r="C50" i="30"/>
  <c r="B50" i="30"/>
  <c r="G42" i="30"/>
  <c r="F42" i="30"/>
  <c r="E42" i="30"/>
  <c r="D42" i="30"/>
  <c r="C42" i="30"/>
  <c r="B42" i="30"/>
  <c r="F39" i="30"/>
  <c r="E39" i="30"/>
  <c r="D39" i="30"/>
  <c r="C39" i="30"/>
  <c r="B39" i="30"/>
  <c r="F38" i="30"/>
  <c r="E38" i="30"/>
  <c r="D38" i="30"/>
  <c r="C38" i="30"/>
  <c r="B38" i="30"/>
  <c r="G51" i="30"/>
  <c r="G53" i="30" s="1"/>
  <c r="G50" i="30"/>
  <c r="G58" i="30" s="1"/>
  <c r="G67" i="30" s="1"/>
  <c r="G39" i="30"/>
  <c r="G38" i="30"/>
  <c r="B31" i="30"/>
  <c r="N31" i="30"/>
  <c r="N29" i="30" s="1"/>
  <c r="M31" i="30"/>
  <c r="L31" i="30"/>
  <c r="K31" i="30"/>
  <c r="J31" i="30"/>
  <c r="I31" i="30"/>
  <c r="H31" i="30"/>
  <c r="G31" i="30"/>
  <c r="F31" i="30"/>
  <c r="E31" i="30"/>
  <c r="D31" i="30"/>
  <c r="C31" i="30"/>
  <c r="B27" i="30"/>
  <c r="N28" i="30"/>
  <c r="M28" i="30"/>
  <c r="L28" i="30"/>
  <c r="K28" i="30"/>
  <c r="J28" i="30"/>
  <c r="I28" i="30"/>
  <c r="H28" i="30"/>
  <c r="G28" i="30"/>
  <c r="P28" i="30" s="1"/>
  <c r="F28" i="30"/>
  <c r="E28" i="30"/>
  <c r="D28" i="30"/>
  <c r="C28" i="30"/>
  <c r="B28" i="30"/>
  <c r="N27" i="30"/>
  <c r="M27" i="30"/>
  <c r="L27" i="30"/>
  <c r="K27" i="30"/>
  <c r="J27" i="30"/>
  <c r="I27" i="30"/>
  <c r="H27" i="30"/>
  <c r="G27" i="30"/>
  <c r="G29" i="30" s="1"/>
  <c r="F27" i="30"/>
  <c r="E27" i="30"/>
  <c r="D27" i="30"/>
  <c r="C27" i="30"/>
  <c r="N24" i="30"/>
  <c r="M24" i="30"/>
  <c r="L24" i="30"/>
  <c r="K24" i="30"/>
  <c r="J24" i="30"/>
  <c r="I24" i="30"/>
  <c r="H24" i="30"/>
  <c r="G24" i="30"/>
  <c r="G22" i="30" s="1"/>
  <c r="F24" i="30"/>
  <c r="E24" i="30"/>
  <c r="D24" i="30"/>
  <c r="C24" i="30"/>
  <c r="B24" i="30"/>
  <c r="N21" i="30"/>
  <c r="M21" i="30"/>
  <c r="L21" i="30"/>
  <c r="K21" i="30"/>
  <c r="J21" i="30"/>
  <c r="I21" i="30"/>
  <c r="H21" i="30"/>
  <c r="G21" i="30"/>
  <c r="P21" i="30" s="1"/>
  <c r="F21" i="30"/>
  <c r="E21" i="30"/>
  <c r="D21" i="30"/>
  <c r="C21" i="30"/>
  <c r="B21" i="30"/>
  <c r="N20" i="30"/>
  <c r="M20" i="30"/>
  <c r="L20" i="30"/>
  <c r="L22" i="30" s="1"/>
  <c r="K20" i="30"/>
  <c r="J20" i="30"/>
  <c r="I20" i="30"/>
  <c r="H20" i="30"/>
  <c r="G20" i="30"/>
  <c r="F20" i="30"/>
  <c r="E20" i="30"/>
  <c r="D20" i="30"/>
  <c r="G46" i="40" s="1"/>
  <c r="C20" i="30"/>
  <c r="B20" i="30"/>
  <c r="N17" i="30"/>
  <c r="M17" i="30"/>
  <c r="L17" i="30"/>
  <c r="K17" i="30"/>
  <c r="J17" i="30"/>
  <c r="I17" i="30"/>
  <c r="H17" i="30"/>
  <c r="G17" i="30"/>
  <c r="F17" i="30"/>
  <c r="E17" i="30"/>
  <c r="D17" i="30"/>
  <c r="C17" i="30"/>
  <c r="B17" i="30"/>
  <c r="N14" i="30"/>
  <c r="M14" i="30"/>
  <c r="L14" i="30"/>
  <c r="K14" i="30"/>
  <c r="J14" i="30"/>
  <c r="I14" i="30"/>
  <c r="H14" i="30"/>
  <c r="G14" i="30"/>
  <c r="O14" i="30" s="1"/>
  <c r="F14" i="30"/>
  <c r="E14" i="30"/>
  <c r="D14" i="30"/>
  <c r="C14" i="30"/>
  <c r="B14" i="30"/>
  <c r="N13" i="30"/>
  <c r="M13" i="30"/>
  <c r="L13" i="30"/>
  <c r="O45" i="40" s="1"/>
  <c r="K13" i="30"/>
  <c r="J13" i="30"/>
  <c r="I13" i="30"/>
  <c r="H13" i="30"/>
  <c r="G13" i="30"/>
  <c r="F13" i="30"/>
  <c r="E13" i="30"/>
  <c r="D13" i="30"/>
  <c r="G45" i="40" s="1"/>
  <c r="C13" i="30"/>
  <c r="B13" i="30"/>
  <c r="N36" i="43"/>
  <c r="M36" i="43"/>
  <c r="L36" i="43"/>
  <c r="K36" i="43"/>
  <c r="J36" i="43"/>
  <c r="I36" i="43"/>
  <c r="H36" i="43"/>
  <c r="G36" i="43"/>
  <c r="F36" i="43"/>
  <c r="E36" i="43"/>
  <c r="D36" i="43"/>
  <c r="C36" i="43"/>
  <c r="B36" i="43"/>
  <c r="N33" i="43"/>
  <c r="M33" i="43"/>
  <c r="L33" i="43"/>
  <c r="K33" i="43"/>
  <c r="J33" i="43"/>
  <c r="I33" i="43"/>
  <c r="H33" i="43"/>
  <c r="G33" i="43"/>
  <c r="F33" i="43"/>
  <c r="E33" i="43"/>
  <c r="D33" i="43"/>
  <c r="C33" i="43"/>
  <c r="B33" i="43"/>
  <c r="N32" i="43"/>
  <c r="M32" i="43"/>
  <c r="L32" i="43"/>
  <c r="K32" i="43"/>
  <c r="J32" i="43"/>
  <c r="I32" i="43"/>
  <c r="H32" i="43"/>
  <c r="G32" i="43"/>
  <c r="F32" i="43"/>
  <c r="E32" i="43"/>
  <c r="D32" i="43"/>
  <c r="C32" i="43"/>
  <c r="B32" i="43"/>
  <c r="B32" i="42"/>
  <c r="N36" i="42"/>
  <c r="M36" i="42"/>
  <c r="L36" i="42"/>
  <c r="K36" i="42"/>
  <c r="J36" i="42"/>
  <c r="I36" i="42"/>
  <c r="H36" i="42"/>
  <c r="G36" i="42"/>
  <c r="G34" i="42" s="1"/>
  <c r="F36" i="42"/>
  <c r="E36" i="42"/>
  <c r="D36" i="42"/>
  <c r="C36" i="42"/>
  <c r="B36" i="42"/>
  <c r="N33" i="42"/>
  <c r="M33" i="42"/>
  <c r="L33" i="42"/>
  <c r="K33" i="42"/>
  <c r="J33" i="42"/>
  <c r="I33" i="42"/>
  <c r="H33" i="42"/>
  <c r="G33" i="42"/>
  <c r="P33" i="42" s="1"/>
  <c r="F33" i="42"/>
  <c r="E33" i="42"/>
  <c r="D33" i="42"/>
  <c r="C33" i="42"/>
  <c r="B33" i="42"/>
  <c r="N32" i="42"/>
  <c r="M32" i="42"/>
  <c r="L32" i="42"/>
  <c r="K34" i="38" s="1"/>
  <c r="K32" i="42"/>
  <c r="J32" i="42"/>
  <c r="I32" i="42"/>
  <c r="H32" i="42"/>
  <c r="G32" i="42"/>
  <c r="F32" i="42"/>
  <c r="E32" i="42"/>
  <c r="D32" i="42"/>
  <c r="C34" i="38" s="1"/>
  <c r="C32" i="42"/>
  <c r="N24" i="43"/>
  <c r="M24" i="43"/>
  <c r="L24" i="43"/>
  <c r="K24" i="43"/>
  <c r="J24" i="43"/>
  <c r="I24" i="43"/>
  <c r="H24" i="43"/>
  <c r="G24" i="43"/>
  <c r="F24" i="43"/>
  <c r="E24" i="43"/>
  <c r="D24" i="43"/>
  <c r="C24" i="43"/>
  <c r="B24" i="43"/>
  <c r="N21" i="43"/>
  <c r="M21" i="43"/>
  <c r="L21" i="43"/>
  <c r="K21" i="43"/>
  <c r="J21" i="43"/>
  <c r="I21" i="43"/>
  <c r="H21" i="43"/>
  <c r="G21" i="43"/>
  <c r="F21" i="43"/>
  <c r="E21" i="43"/>
  <c r="D21" i="43"/>
  <c r="C21" i="43"/>
  <c r="B21" i="43"/>
  <c r="N20" i="43"/>
  <c r="M20" i="43"/>
  <c r="L20" i="43"/>
  <c r="K20" i="43"/>
  <c r="J20" i="43"/>
  <c r="I20" i="43"/>
  <c r="H20" i="43"/>
  <c r="G20" i="43"/>
  <c r="J87" i="40" s="1"/>
  <c r="F20" i="43"/>
  <c r="E20" i="43"/>
  <c r="D20" i="43"/>
  <c r="C20" i="43"/>
  <c r="B20" i="43"/>
  <c r="N17" i="43"/>
  <c r="M17" i="43"/>
  <c r="L17" i="43"/>
  <c r="K17" i="43"/>
  <c r="J17" i="43"/>
  <c r="I17" i="43"/>
  <c r="H17" i="43"/>
  <c r="G17" i="43"/>
  <c r="F17" i="43"/>
  <c r="E17" i="43"/>
  <c r="D17" i="43"/>
  <c r="C17" i="43"/>
  <c r="B17" i="43"/>
  <c r="N14" i="43"/>
  <c r="M14" i="43"/>
  <c r="L14" i="43"/>
  <c r="K14" i="43"/>
  <c r="J14" i="43"/>
  <c r="I14" i="43"/>
  <c r="H14" i="43"/>
  <c r="G14" i="43"/>
  <c r="P14" i="43" s="1"/>
  <c r="F14" i="43"/>
  <c r="E14" i="43"/>
  <c r="D14" i="43"/>
  <c r="C14" i="43"/>
  <c r="B14" i="43"/>
  <c r="N13" i="43"/>
  <c r="M13" i="43"/>
  <c r="L13" i="43"/>
  <c r="L15" i="43" s="1"/>
  <c r="K13" i="43"/>
  <c r="J13" i="43"/>
  <c r="I13" i="43"/>
  <c r="H13" i="43"/>
  <c r="G13" i="43"/>
  <c r="J86" i="40" s="1"/>
  <c r="F13" i="43"/>
  <c r="E13" i="43"/>
  <c r="D13" i="43"/>
  <c r="C13" i="43"/>
  <c r="B13" i="43"/>
  <c r="B22" i="42"/>
  <c r="N24" i="42"/>
  <c r="M24" i="42"/>
  <c r="L24" i="42"/>
  <c r="K24" i="42"/>
  <c r="J24" i="42"/>
  <c r="I24" i="42"/>
  <c r="I22" i="42" s="1"/>
  <c r="H24" i="42"/>
  <c r="H22" i="42" s="1"/>
  <c r="G24" i="42"/>
  <c r="F24" i="42"/>
  <c r="E24" i="42"/>
  <c r="D24" i="42"/>
  <c r="C24" i="42"/>
  <c r="B24" i="42"/>
  <c r="N21" i="42"/>
  <c r="M21" i="42"/>
  <c r="L21" i="42"/>
  <c r="K21" i="42"/>
  <c r="J21" i="42"/>
  <c r="I21" i="42"/>
  <c r="H21" i="42"/>
  <c r="H23" i="42" s="1"/>
  <c r="H25" i="42" s="1"/>
  <c r="G21" i="42"/>
  <c r="G23" i="42" s="1"/>
  <c r="F21" i="42"/>
  <c r="E21" i="42"/>
  <c r="D21" i="42"/>
  <c r="C21" i="42"/>
  <c r="B21" i="42"/>
  <c r="N20" i="42"/>
  <c r="N22" i="42" s="1"/>
  <c r="M20" i="42"/>
  <c r="M25" i="42" s="1"/>
  <c r="L20" i="42"/>
  <c r="O85" i="40" s="1"/>
  <c r="K20" i="42"/>
  <c r="J20" i="42"/>
  <c r="I20" i="42"/>
  <c r="H20" i="42"/>
  <c r="G20" i="42"/>
  <c r="J85" i="40" s="1"/>
  <c r="F20" i="42"/>
  <c r="F22" i="42" s="1"/>
  <c r="E20" i="42"/>
  <c r="E22" i="42" s="1"/>
  <c r="D20" i="42"/>
  <c r="G85" i="40" s="1"/>
  <c r="C20" i="42"/>
  <c r="B20" i="42"/>
  <c r="N17" i="42"/>
  <c r="M17" i="42"/>
  <c r="L17" i="42"/>
  <c r="K17" i="42"/>
  <c r="K15" i="42" s="1"/>
  <c r="J17" i="42"/>
  <c r="I17" i="42"/>
  <c r="H17" i="42"/>
  <c r="G17" i="42"/>
  <c r="F17" i="42"/>
  <c r="E17" i="42"/>
  <c r="D17" i="42"/>
  <c r="C17" i="42"/>
  <c r="C15" i="42" s="1"/>
  <c r="B17" i="42"/>
  <c r="N14" i="42"/>
  <c r="M14" i="42"/>
  <c r="L14" i="42"/>
  <c r="K14" i="42"/>
  <c r="K16" i="42" s="1"/>
  <c r="K18" i="42" s="1"/>
  <c r="J14" i="42"/>
  <c r="J16" i="42" s="1"/>
  <c r="J18" i="42" s="1"/>
  <c r="I14" i="42"/>
  <c r="I16" i="42" s="1"/>
  <c r="I18" i="42" s="1"/>
  <c r="H14" i="42"/>
  <c r="H16" i="42" s="1"/>
  <c r="H18" i="42" s="1"/>
  <c r="G14" i="42"/>
  <c r="F14" i="42"/>
  <c r="E14" i="42"/>
  <c r="D14" i="42"/>
  <c r="C14" i="42"/>
  <c r="C16" i="42" s="1"/>
  <c r="C18" i="42" s="1"/>
  <c r="B14" i="42"/>
  <c r="N13" i="42"/>
  <c r="Q84" i="40" s="1"/>
  <c r="M13" i="42"/>
  <c r="M15" i="42" s="1"/>
  <c r="L13" i="42"/>
  <c r="O84" i="40" s="1"/>
  <c r="K13" i="42"/>
  <c r="J13" i="42"/>
  <c r="I13" i="42"/>
  <c r="H13" i="42"/>
  <c r="G13" i="42"/>
  <c r="F13" i="42"/>
  <c r="E13" i="42"/>
  <c r="H84" i="40" s="1"/>
  <c r="D13" i="42"/>
  <c r="C13" i="42"/>
  <c r="B13" i="42"/>
  <c r="B16" i="42"/>
  <c r="B18" i="42" s="1"/>
  <c r="N36" i="33"/>
  <c r="M36" i="33"/>
  <c r="L36" i="33"/>
  <c r="K36" i="33"/>
  <c r="J36" i="33"/>
  <c r="I36" i="33"/>
  <c r="H36" i="33"/>
  <c r="M34" i="33"/>
  <c r="N34" i="33"/>
  <c r="N33" i="33"/>
  <c r="N35" i="33" s="1"/>
  <c r="M33" i="33"/>
  <c r="L33" i="33"/>
  <c r="K33" i="33"/>
  <c r="J33" i="33"/>
  <c r="I33" i="33"/>
  <c r="H33" i="33"/>
  <c r="K35" i="33"/>
  <c r="K37" i="33" s="1"/>
  <c r="L35" i="33"/>
  <c r="M35" i="33"/>
  <c r="N32" i="33"/>
  <c r="M24" i="38" s="1"/>
  <c r="M32" i="33"/>
  <c r="L32" i="33"/>
  <c r="K32" i="33"/>
  <c r="J32" i="33"/>
  <c r="I32" i="33"/>
  <c r="H32" i="33"/>
  <c r="I34" i="33"/>
  <c r="L44" i="33"/>
  <c r="F36" i="33"/>
  <c r="E36" i="33"/>
  <c r="D36" i="33"/>
  <c r="C36" i="33"/>
  <c r="B36" i="33"/>
  <c r="E34" i="33"/>
  <c r="F33" i="33"/>
  <c r="E33" i="33"/>
  <c r="D33" i="33"/>
  <c r="D35" i="33" s="1"/>
  <c r="D37" i="33" s="1"/>
  <c r="C33" i="33"/>
  <c r="B33" i="33"/>
  <c r="F32" i="33"/>
  <c r="E32" i="33"/>
  <c r="D32" i="33"/>
  <c r="C32" i="33"/>
  <c r="B32" i="33"/>
  <c r="G36" i="33"/>
  <c r="G33" i="33"/>
  <c r="G32" i="33"/>
  <c r="N24" i="33"/>
  <c r="M24" i="33"/>
  <c r="L24" i="33"/>
  <c r="K24" i="33"/>
  <c r="J24" i="33"/>
  <c r="J22" i="33" s="1"/>
  <c r="I24" i="33"/>
  <c r="I22" i="33" s="1"/>
  <c r="H24" i="33"/>
  <c r="G24" i="33"/>
  <c r="F24" i="33"/>
  <c r="E24" i="33"/>
  <c r="D24" i="33"/>
  <c r="C24" i="33"/>
  <c r="B24" i="33"/>
  <c r="B22" i="33" s="1"/>
  <c r="N21" i="33"/>
  <c r="M21" i="33"/>
  <c r="L21" i="33"/>
  <c r="K21" i="33"/>
  <c r="K23" i="33" s="1"/>
  <c r="K25" i="33" s="1"/>
  <c r="J21" i="33"/>
  <c r="J30" i="33" s="1"/>
  <c r="I21" i="33"/>
  <c r="I30" i="33" s="1"/>
  <c r="H21" i="33"/>
  <c r="H30" i="33" s="1"/>
  <c r="G21" i="33"/>
  <c r="G23" i="33" s="1"/>
  <c r="G25" i="33" s="1"/>
  <c r="F21" i="33"/>
  <c r="E21" i="33"/>
  <c r="D21" i="33"/>
  <c r="C21" i="33"/>
  <c r="C30" i="33" s="1"/>
  <c r="B21" i="33"/>
  <c r="N20" i="33"/>
  <c r="N29" i="33" s="1"/>
  <c r="M20" i="33"/>
  <c r="M29" i="33" s="1"/>
  <c r="L20" i="33"/>
  <c r="L22" i="33" s="1"/>
  <c r="K20" i="33"/>
  <c r="J20" i="33"/>
  <c r="I20" i="33"/>
  <c r="H20" i="33"/>
  <c r="K67" i="40" s="1"/>
  <c r="G20" i="33"/>
  <c r="J67" i="40" s="1"/>
  <c r="F20" i="33"/>
  <c r="F29" i="33" s="1"/>
  <c r="E20" i="33"/>
  <c r="E29" i="33" s="1"/>
  <c r="E38" i="33" s="1"/>
  <c r="D20" i="33"/>
  <c r="D22" i="33" s="1"/>
  <c r="C20" i="33"/>
  <c r="B20" i="33"/>
  <c r="N17" i="33"/>
  <c r="M17" i="33"/>
  <c r="L17" i="33"/>
  <c r="K17" i="33"/>
  <c r="J17" i="33"/>
  <c r="I17" i="33"/>
  <c r="I15" i="33" s="1"/>
  <c r="H17" i="33"/>
  <c r="H15" i="33" s="1"/>
  <c r="G17" i="33"/>
  <c r="F17" i="33"/>
  <c r="E17" i="33"/>
  <c r="D17" i="33"/>
  <c r="C17" i="33"/>
  <c r="C15" i="33" s="1"/>
  <c r="B17" i="33"/>
  <c r="B15" i="33" s="1"/>
  <c r="N14" i="33"/>
  <c r="M14" i="33"/>
  <c r="L14" i="33"/>
  <c r="K14" i="33"/>
  <c r="J14" i="33"/>
  <c r="I14" i="33"/>
  <c r="H14" i="33"/>
  <c r="G14" i="33"/>
  <c r="P14" i="33" s="1"/>
  <c r="F14" i="33"/>
  <c r="E14" i="33"/>
  <c r="D14" i="33"/>
  <c r="C14" i="33"/>
  <c r="B14" i="33"/>
  <c r="N13" i="33"/>
  <c r="M13" i="33"/>
  <c r="L13" i="33"/>
  <c r="K13" i="33"/>
  <c r="J13" i="33"/>
  <c r="I13" i="33"/>
  <c r="H13" i="33"/>
  <c r="G13" i="33"/>
  <c r="F13" i="33"/>
  <c r="E13" i="33"/>
  <c r="D13" i="33"/>
  <c r="D15" i="33" s="1"/>
  <c r="C13" i="33"/>
  <c r="B13" i="33"/>
  <c r="N154" i="41"/>
  <c r="N152" i="41" s="1"/>
  <c r="M154" i="41"/>
  <c r="L154" i="41"/>
  <c r="K154" i="41"/>
  <c r="J154" i="41"/>
  <c r="I154" i="41"/>
  <c r="H154" i="41"/>
  <c r="N151" i="41"/>
  <c r="N153" i="41" s="1"/>
  <c r="M151" i="41"/>
  <c r="L151" i="41"/>
  <c r="K151" i="41"/>
  <c r="J151" i="41"/>
  <c r="I151" i="41"/>
  <c r="H151" i="41"/>
  <c r="K153" i="41"/>
  <c r="K155" i="41" s="1"/>
  <c r="L153" i="41"/>
  <c r="M153" i="41"/>
  <c r="N150" i="41"/>
  <c r="M12" i="38" s="1"/>
  <c r="M150" i="41"/>
  <c r="L150" i="41"/>
  <c r="L162" i="41" s="1"/>
  <c r="L167" i="41" s="1"/>
  <c r="L19" i="36" s="1"/>
  <c r="K150" i="41"/>
  <c r="J150" i="41"/>
  <c r="I150" i="41"/>
  <c r="H12" i="38" s="1"/>
  <c r="H150" i="41"/>
  <c r="H152" i="41" s="1"/>
  <c r="L12" i="38"/>
  <c r="N142" i="41"/>
  <c r="M142" i="41"/>
  <c r="L142" i="41"/>
  <c r="K142" i="41"/>
  <c r="J142" i="41"/>
  <c r="I142" i="41"/>
  <c r="H142" i="41"/>
  <c r="N139" i="41"/>
  <c r="N141" i="41" s="1"/>
  <c r="M139" i="41"/>
  <c r="L139" i="41"/>
  <c r="L141" i="41" s="1"/>
  <c r="L143" i="41" s="1"/>
  <c r="K139" i="41"/>
  <c r="J139" i="41"/>
  <c r="J141" i="41" s="1"/>
  <c r="J143" i="41" s="1"/>
  <c r="I139" i="41"/>
  <c r="I141" i="41" s="1"/>
  <c r="I143" i="41" s="1"/>
  <c r="H139" i="41"/>
  <c r="N138" i="41"/>
  <c r="Q30" i="40" s="1"/>
  <c r="M138" i="41"/>
  <c r="M140" i="41" s="1"/>
  <c r="L138" i="41"/>
  <c r="K138" i="41"/>
  <c r="K140" i="41" s="1"/>
  <c r="J138" i="41"/>
  <c r="M30" i="40" s="1"/>
  <c r="I138" i="41"/>
  <c r="H138" i="41"/>
  <c r="N135" i="41"/>
  <c r="M135" i="41"/>
  <c r="L135" i="41"/>
  <c r="K135" i="41"/>
  <c r="J135" i="41"/>
  <c r="I135" i="41"/>
  <c r="H135" i="41"/>
  <c r="N132" i="41"/>
  <c r="N134" i="41" s="1"/>
  <c r="M132" i="41"/>
  <c r="L132" i="41"/>
  <c r="L134" i="41" s="1"/>
  <c r="L136" i="41" s="1"/>
  <c r="K132" i="41"/>
  <c r="K134" i="41" s="1"/>
  <c r="J132" i="41"/>
  <c r="J134" i="41" s="1"/>
  <c r="J136" i="41" s="1"/>
  <c r="I132" i="41"/>
  <c r="H132" i="41"/>
  <c r="N131" i="41"/>
  <c r="M131" i="41"/>
  <c r="M133" i="41" s="1"/>
  <c r="L131" i="41"/>
  <c r="L133" i="41" s="1"/>
  <c r="K131" i="41"/>
  <c r="N29" i="40" s="1"/>
  <c r="J131" i="41"/>
  <c r="M29" i="40" s="1"/>
  <c r="I131" i="41"/>
  <c r="H131" i="41"/>
  <c r="Q29" i="40"/>
  <c r="N128" i="41"/>
  <c r="M128" i="41"/>
  <c r="L128" i="41"/>
  <c r="K128" i="41"/>
  <c r="J128" i="41"/>
  <c r="I128" i="41"/>
  <c r="H128" i="41"/>
  <c r="N125" i="41"/>
  <c r="N127" i="41" s="1"/>
  <c r="M125" i="41"/>
  <c r="L125" i="41"/>
  <c r="L127" i="41" s="1"/>
  <c r="L129" i="41" s="1"/>
  <c r="K125" i="41"/>
  <c r="K127" i="41" s="1"/>
  <c r="K129" i="41" s="1"/>
  <c r="J125" i="41"/>
  <c r="I125" i="41"/>
  <c r="H125" i="41"/>
  <c r="N124" i="41"/>
  <c r="M124" i="41"/>
  <c r="M126" i="41" s="1"/>
  <c r="L124" i="41"/>
  <c r="L147" i="41" s="1"/>
  <c r="K124" i="41"/>
  <c r="J124" i="41"/>
  <c r="I124" i="41"/>
  <c r="H124" i="41"/>
  <c r="N121" i="41"/>
  <c r="M121" i="41"/>
  <c r="L121" i="41"/>
  <c r="L119" i="41" s="1"/>
  <c r="K121" i="41"/>
  <c r="J121" i="41"/>
  <c r="I121" i="41"/>
  <c r="H121" i="41"/>
  <c r="N118" i="41"/>
  <c r="N120" i="41" s="1"/>
  <c r="M118" i="41"/>
  <c r="M120" i="41" s="1"/>
  <c r="L118" i="41"/>
  <c r="K118" i="41"/>
  <c r="K120" i="41" s="1"/>
  <c r="K122" i="41" s="1"/>
  <c r="J118" i="41"/>
  <c r="J120" i="41" s="1"/>
  <c r="J122" i="41" s="1"/>
  <c r="I118" i="41"/>
  <c r="H118" i="41"/>
  <c r="N117" i="41"/>
  <c r="M117" i="41"/>
  <c r="L117" i="41"/>
  <c r="K117" i="41"/>
  <c r="K119" i="41" s="1"/>
  <c r="J117" i="41"/>
  <c r="I117" i="41"/>
  <c r="H117" i="41"/>
  <c r="N109" i="41"/>
  <c r="M109" i="41"/>
  <c r="L109" i="41"/>
  <c r="K109" i="41"/>
  <c r="J109" i="41"/>
  <c r="J107" i="41" s="1"/>
  <c r="I109" i="41"/>
  <c r="H109" i="41"/>
  <c r="N106" i="41"/>
  <c r="N108" i="41" s="1"/>
  <c r="M106" i="41"/>
  <c r="L106" i="41"/>
  <c r="K106" i="41"/>
  <c r="J106" i="41"/>
  <c r="I106" i="41"/>
  <c r="I108" i="41" s="1"/>
  <c r="I110" i="41" s="1"/>
  <c r="H106" i="41"/>
  <c r="H163" i="41" s="1"/>
  <c r="N105" i="41"/>
  <c r="M105" i="41"/>
  <c r="L105" i="41"/>
  <c r="K105" i="41"/>
  <c r="J105" i="41"/>
  <c r="I11" i="38" s="1"/>
  <c r="I105" i="41"/>
  <c r="I107" i="41" s="1"/>
  <c r="H105" i="41"/>
  <c r="H107" i="41" s="1"/>
  <c r="N97" i="41"/>
  <c r="M97" i="41"/>
  <c r="L97" i="41"/>
  <c r="K97" i="41"/>
  <c r="J97" i="41"/>
  <c r="I97" i="41"/>
  <c r="I95" i="41" s="1"/>
  <c r="H97" i="41"/>
  <c r="N94" i="41"/>
  <c r="M94" i="41"/>
  <c r="L94" i="41"/>
  <c r="K94" i="41"/>
  <c r="J94" i="41"/>
  <c r="J96" i="41" s="1"/>
  <c r="J98" i="41" s="1"/>
  <c r="I94" i="41"/>
  <c r="H94" i="41"/>
  <c r="N96" i="41"/>
  <c r="N93" i="41"/>
  <c r="M93" i="41"/>
  <c r="M95" i="41" s="1"/>
  <c r="L93" i="41"/>
  <c r="L95" i="41" s="1"/>
  <c r="K93" i="41"/>
  <c r="N26" i="40" s="1"/>
  <c r="J93" i="41"/>
  <c r="I93" i="41"/>
  <c r="H93" i="41"/>
  <c r="N90" i="41"/>
  <c r="M90" i="41"/>
  <c r="L90" i="41"/>
  <c r="K90" i="41"/>
  <c r="J90" i="41"/>
  <c r="J88" i="41" s="1"/>
  <c r="I90" i="41"/>
  <c r="H90" i="41"/>
  <c r="N87" i="41"/>
  <c r="M87" i="41"/>
  <c r="L87" i="41"/>
  <c r="L89" i="41" s="1"/>
  <c r="L91" i="41" s="1"/>
  <c r="K87" i="41"/>
  <c r="K89" i="41" s="1"/>
  <c r="K91" i="41" s="1"/>
  <c r="J87" i="41"/>
  <c r="J89" i="41" s="1"/>
  <c r="J91" i="41" s="1"/>
  <c r="I87" i="41"/>
  <c r="H87" i="41"/>
  <c r="N86" i="41"/>
  <c r="M86" i="41"/>
  <c r="M88" i="41" s="1"/>
  <c r="L86" i="41"/>
  <c r="O25" i="40" s="1"/>
  <c r="K86" i="41"/>
  <c r="N25" i="40" s="1"/>
  <c r="J86" i="41"/>
  <c r="I86" i="41"/>
  <c r="H86" i="41"/>
  <c r="N83" i="41"/>
  <c r="M83" i="41"/>
  <c r="L83" i="41"/>
  <c r="K83" i="41"/>
  <c r="J83" i="41"/>
  <c r="I83" i="41"/>
  <c r="H83" i="41"/>
  <c r="N80" i="41"/>
  <c r="M80" i="41"/>
  <c r="L80" i="41"/>
  <c r="K80" i="41"/>
  <c r="J80" i="41"/>
  <c r="I80" i="41"/>
  <c r="H80" i="41"/>
  <c r="K82" i="41"/>
  <c r="K84" i="41" s="1"/>
  <c r="N79" i="41"/>
  <c r="Q24" i="40" s="1"/>
  <c r="M79" i="41"/>
  <c r="M81" i="41" s="1"/>
  <c r="L79" i="41"/>
  <c r="L81" i="41" s="1"/>
  <c r="K79" i="41"/>
  <c r="J79" i="41"/>
  <c r="I79" i="41"/>
  <c r="H79" i="41"/>
  <c r="N76" i="41"/>
  <c r="M76" i="41"/>
  <c r="L76" i="41"/>
  <c r="K76" i="41"/>
  <c r="J76" i="41"/>
  <c r="I76" i="41"/>
  <c r="H76" i="41"/>
  <c r="N73" i="41"/>
  <c r="M73" i="41"/>
  <c r="L73" i="41"/>
  <c r="L75" i="41" s="1"/>
  <c r="L77" i="41" s="1"/>
  <c r="K73" i="41"/>
  <c r="J73" i="41"/>
  <c r="I73" i="41"/>
  <c r="H73" i="41"/>
  <c r="N72" i="41"/>
  <c r="M72" i="41"/>
  <c r="L72" i="41"/>
  <c r="K72" i="41"/>
  <c r="N23" i="40" s="1"/>
  <c r="J72" i="41"/>
  <c r="I72" i="41"/>
  <c r="H72" i="41"/>
  <c r="N69" i="41"/>
  <c r="M69" i="41"/>
  <c r="L69" i="41"/>
  <c r="K69" i="41"/>
  <c r="J69" i="41"/>
  <c r="I69" i="41"/>
  <c r="H69" i="41"/>
  <c r="N66" i="41"/>
  <c r="M66" i="41"/>
  <c r="M103" i="41" s="1"/>
  <c r="L66" i="41"/>
  <c r="L68" i="41" s="1"/>
  <c r="L70" i="41" s="1"/>
  <c r="K66" i="41"/>
  <c r="K68" i="41" s="1"/>
  <c r="K70" i="41" s="1"/>
  <c r="J66" i="41"/>
  <c r="I66" i="41"/>
  <c r="H66" i="41"/>
  <c r="M68" i="41"/>
  <c r="N65" i="41"/>
  <c r="Q22" i="40" s="1"/>
  <c r="M65" i="41"/>
  <c r="M67" i="41" s="1"/>
  <c r="L65" i="41"/>
  <c r="K65" i="41"/>
  <c r="J65" i="41"/>
  <c r="I65" i="41"/>
  <c r="H65" i="41"/>
  <c r="N57" i="41"/>
  <c r="M57" i="41"/>
  <c r="L57" i="41"/>
  <c r="K57" i="41"/>
  <c r="J57" i="41"/>
  <c r="I57" i="41"/>
  <c r="H57" i="41"/>
  <c r="N54" i="41"/>
  <c r="M54" i="41"/>
  <c r="L54" i="41"/>
  <c r="K54" i="41"/>
  <c r="J54" i="41"/>
  <c r="I54" i="41"/>
  <c r="H54" i="41"/>
  <c r="N53" i="41"/>
  <c r="N55" i="41" s="1"/>
  <c r="M53" i="41"/>
  <c r="L53" i="41"/>
  <c r="L55" i="41" s="1"/>
  <c r="K53" i="41"/>
  <c r="K175" i="41" s="1"/>
  <c r="J53" i="41"/>
  <c r="I53" i="41"/>
  <c r="H53" i="41"/>
  <c r="F154" i="41"/>
  <c r="F152" i="41" s="1"/>
  <c r="E154" i="41"/>
  <c r="D154" i="41"/>
  <c r="D152" i="41" s="1"/>
  <c r="C154" i="41"/>
  <c r="B154" i="41"/>
  <c r="F151" i="41"/>
  <c r="E151" i="41"/>
  <c r="D151" i="41"/>
  <c r="C151" i="41"/>
  <c r="C163" i="41" s="1"/>
  <c r="B151" i="41"/>
  <c r="B163" i="41" s="1"/>
  <c r="F153" i="41"/>
  <c r="F150" i="41"/>
  <c r="E150" i="41"/>
  <c r="E152" i="41" s="1"/>
  <c r="D150" i="41"/>
  <c r="C150" i="41"/>
  <c r="B150" i="41"/>
  <c r="F142" i="41"/>
  <c r="F140" i="41" s="1"/>
  <c r="E142" i="41"/>
  <c r="E140" i="41" s="1"/>
  <c r="D142" i="41"/>
  <c r="C142" i="41"/>
  <c r="B142" i="41"/>
  <c r="F139" i="41"/>
  <c r="E139" i="41"/>
  <c r="E141" i="41" s="1"/>
  <c r="E143" i="41" s="1"/>
  <c r="D139" i="41"/>
  <c r="C139" i="41"/>
  <c r="C141" i="41" s="1"/>
  <c r="B139" i="41"/>
  <c r="B141" i="41" s="1"/>
  <c r="B143" i="41" s="1"/>
  <c r="F141" i="41"/>
  <c r="F138" i="41"/>
  <c r="E138" i="41"/>
  <c r="D138" i="41"/>
  <c r="C138" i="41"/>
  <c r="B138" i="41"/>
  <c r="I30" i="40"/>
  <c r="F135" i="41"/>
  <c r="E135" i="41"/>
  <c r="D135" i="41"/>
  <c r="C135" i="41"/>
  <c r="B135" i="41"/>
  <c r="F132" i="41"/>
  <c r="E132" i="41"/>
  <c r="D132" i="41"/>
  <c r="C132" i="41"/>
  <c r="C134" i="41" s="1"/>
  <c r="C136" i="41" s="1"/>
  <c r="B132" i="41"/>
  <c r="B134" i="41" s="1"/>
  <c r="F131" i="41"/>
  <c r="I29" i="40" s="1"/>
  <c r="E131" i="41"/>
  <c r="D131" i="41"/>
  <c r="C131" i="41"/>
  <c r="B131" i="41"/>
  <c r="F128" i="41"/>
  <c r="E128" i="41"/>
  <c r="D128" i="41"/>
  <c r="C128" i="41"/>
  <c r="B128" i="41"/>
  <c r="F125" i="41"/>
  <c r="F127" i="41" s="1"/>
  <c r="F129" i="41" s="1"/>
  <c r="E125" i="41"/>
  <c r="E127" i="41" s="1"/>
  <c r="D125" i="41"/>
  <c r="D127" i="41" s="1"/>
  <c r="D129" i="41" s="1"/>
  <c r="C125" i="41"/>
  <c r="B125" i="41"/>
  <c r="F124" i="41"/>
  <c r="F126" i="41" s="1"/>
  <c r="E124" i="41"/>
  <c r="E126" i="41" s="1"/>
  <c r="D124" i="41"/>
  <c r="C124" i="41"/>
  <c r="B124" i="41"/>
  <c r="F28" i="40" s="1"/>
  <c r="H28" i="40"/>
  <c r="G124" i="41"/>
  <c r="F121" i="41"/>
  <c r="E121" i="41"/>
  <c r="D121" i="41"/>
  <c r="C121" i="41"/>
  <c r="B121" i="41"/>
  <c r="B119" i="41" s="1"/>
  <c r="F118" i="41"/>
  <c r="F120" i="41" s="1"/>
  <c r="E118" i="41"/>
  <c r="D118" i="41"/>
  <c r="C118" i="41"/>
  <c r="B118" i="41"/>
  <c r="F117" i="41"/>
  <c r="I27" i="40" s="1"/>
  <c r="E117" i="41"/>
  <c r="H27" i="40" s="1"/>
  <c r="D117" i="41"/>
  <c r="G27" i="40" s="1"/>
  <c r="C117" i="41"/>
  <c r="C119" i="41" s="1"/>
  <c r="B117" i="41"/>
  <c r="F109" i="41"/>
  <c r="E109" i="41"/>
  <c r="D109" i="41"/>
  <c r="D107" i="41" s="1"/>
  <c r="C109" i="41"/>
  <c r="C107" i="41" s="1"/>
  <c r="B109" i="41"/>
  <c r="F106" i="41"/>
  <c r="E106" i="41"/>
  <c r="D106" i="41"/>
  <c r="C106" i="41"/>
  <c r="B106" i="41"/>
  <c r="F105" i="41"/>
  <c r="E11" i="38" s="1"/>
  <c r="E105" i="41"/>
  <c r="E107" i="41" s="1"/>
  <c r="D105" i="41"/>
  <c r="C105" i="41"/>
  <c r="B105" i="41"/>
  <c r="G154" i="41"/>
  <c r="G151" i="41"/>
  <c r="G150" i="41"/>
  <c r="G175" i="41" s="1"/>
  <c r="G142" i="41"/>
  <c r="G139" i="41"/>
  <c r="G138" i="41"/>
  <c r="J30" i="40" s="1"/>
  <c r="G135" i="41"/>
  <c r="G132" i="41"/>
  <c r="G131" i="41"/>
  <c r="G128" i="41"/>
  <c r="G125" i="41"/>
  <c r="G121" i="41"/>
  <c r="G118" i="41"/>
  <c r="G117" i="41"/>
  <c r="J27" i="40" s="1"/>
  <c r="G109" i="41"/>
  <c r="G106" i="41"/>
  <c r="G105" i="41"/>
  <c r="F97" i="41"/>
  <c r="E97" i="41"/>
  <c r="D97" i="41"/>
  <c r="D95" i="41" s="1"/>
  <c r="C97" i="41"/>
  <c r="B97" i="41"/>
  <c r="F94" i="41"/>
  <c r="E94" i="41"/>
  <c r="D94" i="41"/>
  <c r="D103" i="41" s="1"/>
  <c r="C94" i="41"/>
  <c r="C96" i="41" s="1"/>
  <c r="C98" i="41" s="1"/>
  <c r="B94" i="41"/>
  <c r="B96" i="41" s="1"/>
  <c r="B98" i="41" s="1"/>
  <c r="E96" i="41"/>
  <c r="E98" i="41" s="1"/>
  <c r="F96" i="41"/>
  <c r="F98" i="41" s="1"/>
  <c r="F93" i="41"/>
  <c r="E93" i="41"/>
  <c r="D93" i="41"/>
  <c r="C93" i="41"/>
  <c r="B93" i="41"/>
  <c r="B102" i="41" s="1"/>
  <c r="B111" i="41" s="1"/>
  <c r="H26" i="40"/>
  <c r="F90" i="41"/>
  <c r="E90" i="41"/>
  <c r="D90" i="41"/>
  <c r="C90" i="41"/>
  <c r="B90" i="41"/>
  <c r="F87" i="41"/>
  <c r="F89" i="41" s="1"/>
  <c r="F91" i="41" s="1"/>
  <c r="E87" i="41"/>
  <c r="E89" i="41" s="1"/>
  <c r="E91" i="41" s="1"/>
  <c r="D87" i="41"/>
  <c r="D89" i="41" s="1"/>
  <c r="C87" i="41"/>
  <c r="B87" i="41"/>
  <c r="F86" i="41"/>
  <c r="F88" i="41" s="1"/>
  <c r="E86" i="41"/>
  <c r="H25" i="40" s="1"/>
  <c r="D86" i="41"/>
  <c r="D88" i="41" s="1"/>
  <c r="C86" i="41"/>
  <c r="B86" i="41"/>
  <c r="F83" i="41"/>
  <c r="E83" i="41"/>
  <c r="D83" i="41"/>
  <c r="C83" i="41"/>
  <c r="B83" i="41"/>
  <c r="F80" i="41"/>
  <c r="F82" i="41" s="1"/>
  <c r="F84" i="41" s="1"/>
  <c r="E80" i="41"/>
  <c r="D80" i="41"/>
  <c r="C80" i="41"/>
  <c r="B80" i="41"/>
  <c r="F79" i="41"/>
  <c r="E79" i="41"/>
  <c r="H24" i="40" s="1"/>
  <c r="D79" i="41"/>
  <c r="C79" i="41"/>
  <c r="C81" i="41" s="1"/>
  <c r="B79" i="41"/>
  <c r="I24" i="40"/>
  <c r="F76" i="41"/>
  <c r="E76" i="41"/>
  <c r="D76" i="41"/>
  <c r="D74" i="41" s="1"/>
  <c r="C76" i="41"/>
  <c r="C74" i="41" s="1"/>
  <c r="B76" i="41"/>
  <c r="B74" i="41" s="1"/>
  <c r="F73" i="41"/>
  <c r="E73" i="41"/>
  <c r="D73" i="41"/>
  <c r="C73" i="41"/>
  <c r="B73" i="41"/>
  <c r="F75" i="41"/>
  <c r="F72" i="41"/>
  <c r="I23" i="40" s="1"/>
  <c r="E72" i="41"/>
  <c r="E77" i="41" s="1"/>
  <c r="D72" i="41"/>
  <c r="C72" i="41"/>
  <c r="C102" i="41" s="1"/>
  <c r="C111" i="41" s="1"/>
  <c r="B72" i="41"/>
  <c r="F69" i="41"/>
  <c r="E69" i="41"/>
  <c r="D69" i="41"/>
  <c r="C69" i="41"/>
  <c r="B69" i="41"/>
  <c r="B67" i="41" s="1"/>
  <c r="F66" i="41"/>
  <c r="E66" i="41"/>
  <c r="D66" i="41"/>
  <c r="C66" i="41"/>
  <c r="B66" i="41"/>
  <c r="F65" i="41"/>
  <c r="F67" i="41" s="1"/>
  <c r="E65" i="41"/>
  <c r="E67" i="41" s="1"/>
  <c r="D65" i="41"/>
  <c r="D67" i="41" s="1"/>
  <c r="C65" i="41"/>
  <c r="B65" i="41"/>
  <c r="F57" i="41"/>
  <c r="E57" i="41"/>
  <c r="D57" i="41"/>
  <c r="C57" i="41"/>
  <c r="B57" i="41"/>
  <c r="B55" i="41" s="1"/>
  <c r="F54" i="41"/>
  <c r="F163" i="41" s="1"/>
  <c r="E54" i="41"/>
  <c r="D54" i="41"/>
  <c r="C54" i="41"/>
  <c r="B54" i="41"/>
  <c r="F53" i="41"/>
  <c r="E53" i="41"/>
  <c r="E55" i="41" s="1"/>
  <c r="D53" i="41"/>
  <c r="C10" i="38" s="1"/>
  <c r="C53" i="41"/>
  <c r="C55" i="41" s="1"/>
  <c r="B53" i="41"/>
  <c r="G97" i="41"/>
  <c r="G94" i="41"/>
  <c r="G93" i="41"/>
  <c r="J26" i="40" s="1"/>
  <c r="G90" i="41"/>
  <c r="G87" i="41"/>
  <c r="G89" i="41" s="1"/>
  <c r="G86" i="41"/>
  <c r="J25" i="40" s="1"/>
  <c r="G83" i="41"/>
  <c r="G80" i="41"/>
  <c r="G79" i="41"/>
  <c r="G76" i="41"/>
  <c r="G73" i="41"/>
  <c r="G75" i="41" s="1"/>
  <c r="G72" i="41"/>
  <c r="G74" i="41" s="1"/>
  <c r="G69" i="41"/>
  <c r="G66" i="41"/>
  <c r="P66" i="41" s="1"/>
  <c r="G65" i="41"/>
  <c r="G57" i="41"/>
  <c r="G54" i="41"/>
  <c r="G53" i="41"/>
  <c r="F10" i="38" s="1"/>
  <c r="N45" i="41"/>
  <c r="M45" i="41"/>
  <c r="L45" i="41"/>
  <c r="K45" i="41"/>
  <c r="K43" i="41" s="1"/>
  <c r="J45" i="41"/>
  <c r="I45" i="41"/>
  <c r="H45" i="41"/>
  <c r="H43" i="41" s="1"/>
  <c r="G45" i="41"/>
  <c r="F45" i="41"/>
  <c r="E45" i="41"/>
  <c r="D45" i="41"/>
  <c r="C45" i="41"/>
  <c r="C43" i="41" s="1"/>
  <c r="B45" i="41"/>
  <c r="B43" i="41" s="1"/>
  <c r="N42" i="41"/>
  <c r="M42" i="41"/>
  <c r="M51" i="41" s="1"/>
  <c r="L42" i="41"/>
  <c r="K42" i="41"/>
  <c r="K44" i="41" s="1"/>
  <c r="J42" i="41"/>
  <c r="I42" i="41"/>
  <c r="I44" i="41" s="1"/>
  <c r="I46" i="41" s="1"/>
  <c r="H42" i="41"/>
  <c r="H44" i="41" s="1"/>
  <c r="H46" i="41" s="1"/>
  <c r="G42" i="41"/>
  <c r="O42" i="41" s="1"/>
  <c r="O44" i="41" s="1"/>
  <c r="F42" i="41"/>
  <c r="E42" i="41"/>
  <c r="D42" i="41"/>
  <c r="C42" i="41"/>
  <c r="C44" i="41" s="1"/>
  <c r="B42" i="41"/>
  <c r="N41" i="41"/>
  <c r="M41" i="41"/>
  <c r="P21" i="40" s="1"/>
  <c r="L41" i="41"/>
  <c r="O21" i="40" s="1"/>
  <c r="K41" i="41"/>
  <c r="J41" i="41"/>
  <c r="I41" i="41"/>
  <c r="H41" i="41"/>
  <c r="G41" i="41"/>
  <c r="J21" i="40" s="1"/>
  <c r="F41" i="41"/>
  <c r="I21" i="40" s="1"/>
  <c r="E41" i="41"/>
  <c r="H21" i="40" s="1"/>
  <c r="D41" i="41"/>
  <c r="G21" i="40" s="1"/>
  <c r="C41" i="41"/>
  <c r="B41" i="41"/>
  <c r="B50" i="41" s="1"/>
  <c r="B59" i="41" s="1"/>
  <c r="N38" i="41"/>
  <c r="M38" i="41"/>
  <c r="L38" i="41"/>
  <c r="K38" i="41"/>
  <c r="J38" i="41"/>
  <c r="J36" i="41" s="1"/>
  <c r="I38" i="41"/>
  <c r="H38" i="41"/>
  <c r="G38" i="41"/>
  <c r="F38" i="41"/>
  <c r="E38" i="41"/>
  <c r="D38" i="41"/>
  <c r="C38" i="41"/>
  <c r="B38" i="41"/>
  <c r="B36" i="41" s="1"/>
  <c r="N35" i="41"/>
  <c r="N37" i="41" s="1"/>
  <c r="N39" i="41" s="1"/>
  <c r="M35" i="41"/>
  <c r="L35" i="41"/>
  <c r="L37" i="41" s="1"/>
  <c r="K35" i="41"/>
  <c r="J35" i="41"/>
  <c r="I35" i="41"/>
  <c r="I37" i="41" s="1"/>
  <c r="H35" i="41"/>
  <c r="H37" i="41" s="1"/>
  <c r="H39" i="41" s="1"/>
  <c r="G35" i="41"/>
  <c r="G37" i="41" s="1"/>
  <c r="F35" i="41"/>
  <c r="E35" i="41"/>
  <c r="D35" i="41"/>
  <c r="D37" i="41" s="1"/>
  <c r="C35" i="41"/>
  <c r="C37" i="41" s="1"/>
  <c r="B35" i="41"/>
  <c r="N34" i="41"/>
  <c r="N36" i="41" s="1"/>
  <c r="M34" i="41"/>
  <c r="L34" i="41"/>
  <c r="K34" i="41"/>
  <c r="N20" i="40" s="1"/>
  <c r="J34" i="41"/>
  <c r="I34" i="41"/>
  <c r="I36" i="41" s="1"/>
  <c r="H34" i="41"/>
  <c r="G34" i="41"/>
  <c r="J20" i="40" s="1"/>
  <c r="F34" i="41"/>
  <c r="I20" i="40" s="1"/>
  <c r="E34" i="41"/>
  <c r="E36" i="41" s="1"/>
  <c r="D34" i="41"/>
  <c r="C34" i="41"/>
  <c r="C50" i="41" s="1"/>
  <c r="C59" i="41" s="1"/>
  <c r="B34" i="41"/>
  <c r="B31" i="41"/>
  <c r="B29" i="41" s="1"/>
  <c r="D30" i="7"/>
  <c r="E30" i="7"/>
  <c r="F30" i="7"/>
  <c r="G30" i="7"/>
  <c r="H30" i="7"/>
  <c r="I30" i="7"/>
  <c r="J30" i="7"/>
  <c r="K30" i="7"/>
  <c r="K32" i="7" s="1"/>
  <c r="L30" i="7"/>
  <c r="M30" i="7"/>
  <c r="N30" i="7"/>
  <c r="C30" i="7"/>
  <c r="B30" i="7"/>
  <c r="N31" i="7"/>
  <c r="M31" i="7"/>
  <c r="L31" i="7"/>
  <c r="K31" i="7"/>
  <c r="J31" i="7"/>
  <c r="I31" i="7"/>
  <c r="I29" i="7" s="1"/>
  <c r="H31" i="7"/>
  <c r="H29" i="7" s="1"/>
  <c r="G31" i="7"/>
  <c r="F31" i="7"/>
  <c r="E31" i="7"/>
  <c r="D31" i="7"/>
  <c r="C31" i="7"/>
  <c r="B31" i="7"/>
  <c r="B29" i="7" s="1"/>
  <c r="B37" i="7"/>
  <c r="B23" i="7"/>
  <c r="G31" i="41"/>
  <c r="N31" i="41"/>
  <c r="N29" i="41" s="1"/>
  <c r="M31" i="41"/>
  <c r="L31" i="41"/>
  <c r="K31" i="41"/>
  <c r="J31" i="41"/>
  <c r="I31" i="41"/>
  <c r="H31" i="41"/>
  <c r="F31" i="41"/>
  <c r="F29" i="41" s="1"/>
  <c r="E31" i="41"/>
  <c r="D31" i="41"/>
  <c r="C31" i="41"/>
  <c r="C29" i="41" s="1"/>
  <c r="D30" i="41"/>
  <c r="E30" i="41"/>
  <c r="F30" i="41"/>
  <c r="F32" i="41" s="1"/>
  <c r="L30" i="41"/>
  <c r="M30" i="41"/>
  <c r="N30" i="41"/>
  <c r="N28" i="41"/>
  <c r="M28" i="41"/>
  <c r="L28" i="41"/>
  <c r="L51" i="41" s="1"/>
  <c r="K28" i="41"/>
  <c r="K30" i="41" s="1"/>
  <c r="K32" i="41" s="1"/>
  <c r="J28" i="41"/>
  <c r="J30" i="41" s="1"/>
  <c r="J32" i="41" s="1"/>
  <c r="I28" i="41"/>
  <c r="I30" i="41" s="1"/>
  <c r="H28" i="41"/>
  <c r="H30" i="41" s="1"/>
  <c r="G28" i="41"/>
  <c r="G30" i="41" s="1"/>
  <c r="F28" i="41"/>
  <c r="E28" i="41"/>
  <c r="D28" i="41"/>
  <c r="D51" i="41" s="1"/>
  <c r="C28" i="41"/>
  <c r="C30" i="41" s="1"/>
  <c r="C32" i="41" s="1"/>
  <c r="B28" i="41"/>
  <c r="O28" i="41" s="1"/>
  <c r="P30" i="41" s="1"/>
  <c r="N27" i="41"/>
  <c r="Q19" i="40" s="1"/>
  <c r="M27" i="41"/>
  <c r="M29" i="41" s="1"/>
  <c r="L27" i="41"/>
  <c r="O19" i="40" s="1"/>
  <c r="K27" i="41"/>
  <c r="K29" i="41" s="1"/>
  <c r="J27" i="41"/>
  <c r="J29" i="41" s="1"/>
  <c r="I27" i="41"/>
  <c r="L19" i="40" s="1"/>
  <c r="H27" i="41"/>
  <c r="K19" i="40" s="1"/>
  <c r="G27" i="41"/>
  <c r="J19" i="40" s="1"/>
  <c r="F27" i="41"/>
  <c r="I19" i="40" s="1"/>
  <c r="E27" i="41"/>
  <c r="H19" i="40" s="1"/>
  <c r="D27" i="41"/>
  <c r="G19" i="40" s="1"/>
  <c r="C27" i="41"/>
  <c r="B27" i="41"/>
  <c r="N24" i="41"/>
  <c r="M24" i="41"/>
  <c r="L24" i="41"/>
  <c r="K24" i="41"/>
  <c r="J24" i="41"/>
  <c r="J22" i="41" s="1"/>
  <c r="I24" i="41"/>
  <c r="H24" i="41"/>
  <c r="G24" i="41"/>
  <c r="F24" i="41"/>
  <c r="E24" i="41"/>
  <c r="D24" i="41"/>
  <c r="C24" i="41"/>
  <c r="B24" i="41"/>
  <c r="B22" i="41" s="1"/>
  <c r="N21" i="41"/>
  <c r="M21" i="41"/>
  <c r="L21" i="41"/>
  <c r="K21" i="41"/>
  <c r="K23" i="41" s="1"/>
  <c r="K25" i="41" s="1"/>
  <c r="J21" i="41"/>
  <c r="J23" i="41" s="1"/>
  <c r="J25" i="41" s="1"/>
  <c r="I21" i="41"/>
  <c r="I23" i="41" s="1"/>
  <c r="I25" i="41" s="1"/>
  <c r="H21" i="41"/>
  <c r="H23" i="41" s="1"/>
  <c r="G21" i="41"/>
  <c r="G23" i="41" s="1"/>
  <c r="F21" i="41"/>
  <c r="E21" i="41"/>
  <c r="D21" i="41"/>
  <c r="C21" i="41"/>
  <c r="C23" i="41" s="1"/>
  <c r="C25" i="41" s="1"/>
  <c r="B21" i="41"/>
  <c r="B23" i="41" s="1"/>
  <c r="B25" i="41" s="1"/>
  <c r="N20" i="41"/>
  <c r="N22" i="41" s="1"/>
  <c r="M20" i="41"/>
  <c r="P18" i="40" s="1"/>
  <c r="L20" i="41"/>
  <c r="O18" i="40" s="1"/>
  <c r="K20" i="41"/>
  <c r="J20" i="41"/>
  <c r="I20" i="41"/>
  <c r="L18" i="40" s="1"/>
  <c r="H20" i="41"/>
  <c r="K18" i="40" s="1"/>
  <c r="G20" i="41"/>
  <c r="J18" i="40" s="1"/>
  <c r="F20" i="41"/>
  <c r="I18" i="40" s="1"/>
  <c r="E20" i="41"/>
  <c r="H18" i="40" s="1"/>
  <c r="D20" i="41"/>
  <c r="C20" i="41"/>
  <c r="B20" i="41"/>
  <c r="N17" i="41"/>
  <c r="M17" i="41"/>
  <c r="L17" i="41"/>
  <c r="K17" i="41"/>
  <c r="J17" i="41"/>
  <c r="I17" i="41"/>
  <c r="H17" i="41"/>
  <c r="G17" i="41"/>
  <c r="F17" i="41"/>
  <c r="E17" i="41"/>
  <c r="D17" i="41"/>
  <c r="C17" i="41"/>
  <c r="C15" i="41" s="1"/>
  <c r="B17" i="41"/>
  <c r="N14" i="41"/>
  <c r="N16" i="41" s="1"/>
  <c r="N18" i="41" s="1"/>
  <c r="M14" i="41"/>
  <c r="L14" i="41"/>
  <c r="K14" i="41"/>
  <c r="J14" i="41"/>
  <c r="J16" i="41" s="1"/>
  <c r="J18" i="41" s="1"/>
  <c r="I14" i="41"/>
  <c r="H14" i="41"/>
  <c r="H16" i="41" s="1"/>
  <c r="H18" i="41" s="1"/>
  <c r="G14" i="41"/>
  <c r="F14" i="41"/>
  <c r="F16" i="41" s="1"/>
  <c r="F18" i="41" s="1"/>
  <c r="E14" i="41"/>
  <c r="D14" i="41"/>
  <c r="C14" i="41"/>
  <c r="B14" i="41"/>
  <c r="B16" i="41" s="1"/>
  <c r="B18" i="41" s="1"/>
  <c r="N13" i="41"/>
  <c r="Q17" i="40" s="1"/>
  <c r="M13" i="41"/>
  <c r="L13" i="41"/>
  <c r="O17" i="40" s="1"/>
  <c r="K13" i="41"/>
  <c r="K15" i="41" s="1"/>
  <c r="J13" i="41"/>
  <c r="I13" i="41"/>
  <c r="H13" i="41"/>
  <c r="H15" i="41" s="1"/>
  <c r="G13" i="41"/>
  <c r="J17" i="40" s="1"/>
  <c r="F13" i="41"/>
  <c r="F15" i="41" s="1"/>
  <c r="E13" i="41"/>
  <c r="H17" i="40" s="1"/>
  <c r="D13" i="41"/>
  <c r="C13" i="41"/>
  <c r="B13" i="41"/>
  <c r="N64" i="7"/>
  <c r="M64" i="7"/>
  <c r="L64" i="7"/>
  <c r="K64" i="7"/>
  <c r="J64" i="7"/>
  <c r="I64" i="7"/>
  <c r="H64" i="7"/>
  <c r="F64" i="7"/>
  <c r="E64" i="7"/>
  <c r="D64" i="7"/>
  <c r="C64" i="7"/>
  <c r="B64" i="7"/>
  <c r="C62" i="7"/>
  <c r="F62" i="7"/>
  <c r="N61" i="7"/>
  <c r="N73" i="7" s="1"/>
  <c r="M61" i="7"/>
  <c r="L61" i="7"/>
  <c r="K61" i="7"/>
  <c r="J61" i="7"/>
  <c r="I61" i="7"/>
  <c r="H61" i="7"/>
  <c r="K63" i="7"/>
  <c r="K65" i="7" s="1"/>
  <c r="L63" i="7"/>
  <c r="L65" i="7" s="1"/>
  <c r="M73" i="7"/>
  <c r="C61" i="7"/>
  <c r="D61" i="7"/>
  <c r="E61" i="7"/>
  <c r="F61" i="7"/>
  <c r="F73" i="7" s="1"/>
  <c r="G61" i="7"/>
  <c r="B61" i="7"/>
  <c r="N60" i="7"/>
  <c r="M16" i="38" s="1"/>
  <c r="M60" i="7"/>
  <c r="L60" i="7"/>
  <c r="K60" i="7"/>
  <c r="J60" i="7"/>
  <c r="I60" i="7"/>
  <c r="H60" i="7"/>
  <c r="J62" i="7"/>
  <c r="K62" i="7"/>
  <c r="L62" i="7"/>
  <c r="F60" i="7"/>
  <c r="E60" i="7"/>
  <c r="D60" i="7"/>
  <c r="C60" i="7"/>
  <c r="B60" i="7"/>
  <c r="D65" i="7"/>
  <c r="N52" i="7"/>
  <c r="N50" i="7" s="1"/>
  <c r="M52" i="7"/>
  <c r="L52" i="7"/>
  <c r="K52" i="7"/>
  <c r="J52" i="7"/>
  <c r="I52" i="7"/>
  <c r="H52" i="7"/>
  <c r="K50" i="7"/>
  <c r="L50" i="7"/>
  <c r="M50" i="7"/>
  <c r="F52" i="7"/>
  <c r="E52" i="7"/>
  <c r="D52" i="7"/>
  <c r="D50" i="7" s="1"/>
  <c r="C52" i="7"/>
  <c r="B52" i="7"/>
  <c r="N49" i="7"/>
  <c r="N51" i="7" s="1"/>
  <c r="M49" i="7"/>
  <c r="L49" i="7"/>
  <c r="K49" i="7"/>
  <c r="J49" i="7"/>
  <c r="I49" i="7"/>
  <c r="H49" i="7"/>
  <c r="L51" i="7"/>
  <c r="M51" i="7"/>
  <c r="F49" i="7"/>
  <c r="E49" i="7"/>
  <c r="D49" i="7"/>
  <c r="C49" i="7"/>
  <c r="B49" i="7"/>
  <c r="N48" i="7"/>
  <c r="M48" i="7"/>
  <c r="L48" i="7"/>
  <c r="K48" i="7"/>
  <c r="J48" i="7"/>
  <c r="I48" i="7"/>
  <c r="H48" i="7"/>
  <c r="P16" i="40"/>
  <c r="Q16" i="40"/>
  <c r="F48" i="7"/>
  <c r="E48" i="7"/>
  <c r="D48" i="7"/>
  <c r="C48" i="7"/>
  <c r="B48" i="7"/>
  <c r="H16" i="40"/>
  <c r="I16" i="40"/>
  <c r="G64" i="7"/>
  <c r="G60" i="7"/>
  <c r="G52" i="7"/>
  <c r="G49" i="7"/>
  <c r="G48" i="7"/>
  <c r="N45" i="7"/>
  <c r="M45" i="7"/>
  <c r="L45" i="7"/>
  <c r="K45" i="7"/>
  <c r="K43" i="7" s="1"/>
  <c r="J45" i="7"/>
  <c r="J43" i="7" s="1"/>
  <c r="I45" i="7"/>
  <c r="I43" i="7" s="1"/>
  <c r="H45" i="7"/>
  <c r="G45" i="7"/>
  <c r="F45" i="7"/>
  <c r="E45" i="7"/>
  <c r="D45" i="7"/>
  <c r="C45" i="7"/>
  <c r="C43" i="7" s="1"/>
  <c r="B45" i="7"/>
  <c r="B43" i="7" s="1"/>
  <c r="N42" i="7"/>
  <c r="M42" i="7"/>
  <c r="L42" i="7"/>
  <c r="K42" i="7"/>
  <c r="K44" i="7" s="1"/>
  <c r="K46" i="7" s="1"/>
  <c r="J42" i="7"/>
  <c r="J44" i="7" s="1"/>
  <c r="J46" i="7" s="1"/>
  <c r="I42" i="7"/>
  <c r="I44" i="7" s="1"/>
  <c r="I46" i="7" s="1"/>
  <c r="H42" i="7"/>
  <c r="H44" i="7" s="1"/>
  <c r="H46" i="7" s="1"/>
  <c r="G42" i="7"/>
  <c r="O42" i="7" s="1"/>
  <c r="F42" i="7"/>
  <c r="E42" i="7"/>
  <c r="D42" i="7"/>
  <c r="C42" i="7"/>
  <c r="C44" i="7" s="1"/>
  <c r="C46" i="7" s="1"/>
  <c r="B42" i="7"/>
  <c r="N41" i="7"/>
  <c r="N43" i="7" s="1"/>
  <c r="M41" i="7"/>
  <c r="L41" i="7"/>
  <c r="O15" i="40" s="1"/>
  <c r="K41" i="7"/>
  <c r="J41" i="7"/>
  <c r="I41" i="7"/>
  <c r="H41" i="7"/>
  <c r="G41" i="7"/>
  <c r="J15" i="40" s="1"/>
  <c r="F41" i="7"/>
  <c r="I15" i="40" s="1"/>
  <c r="E41" i="7"/>
  <c r="E43" i="7" s="1"/>
  <c r="D41" i="7"/>
  <c r="P41" i="7" s="1"/>
  <c r="C41" i="7"/>
  <c r="B41" i="7"/>
  <c r="Q15" i="40"/>
  <c r="P15" i="40"/>
  <c r="N38" i="7"/>
  <c r="M38" i="7"/>
  <c r="L38" i="7"/>
  <c r="K38" i="7"/>
  <c r="J38" i="7"/>
  <c r="J36" i="7" s="1"/>
  <c r="I38" i="7"/>
  <c r="H38" i="7"/>
  <c r="G38" i="7"/>
  <c r="F38" i="7"/>
  <c r="E38" i="7"/>
  <c r="D38" i="7"/>
  <c r="C38" i="7"/>
  <c r="C36" i="7" s="1"/>
  <c r="B38" i="7"/>
  <c r="B36" i="7" s="1"/>
  <c r="N35" i="7"/>
  <c r="M35" i="7"/>
  <c r="L35" i="7"/>
  <c r="K35" i="7"/>
  <c r="J35" i="7"/>
  <c r="I35" i="7"/>
  <c r="H35" i="7"/>
  <c r="G35" i="7"/>
  <c r="O35" i="7" s="1"/>
  <c r="F35" i="7"/>
  <c r="E35" i="7"/>
  <c r="D35" i="7"/>
  <c r="C35" i="7"/>
  <c r="B35" i="7"/>
  <c r="N34" i="7"/>
  <c r="M34" i="7"/>
  <c r="L34" i="7"/>
  <c r="K34" i="7"/>
  <c r="J34" i="7"/>
  <c r="I34" i="7"/>
  <c r="H34" i="7"/>
  <c r="G34" i="7"/>
  <c r="F34" i="7"/>
  <c r="E34" i="7"/>
  <c r="D34" i="7"/>
  <c r="C34" i="7"/>
  <c r="B34" i="7"/>
  <c r="N28" i="7"/>
  <c r="M28" i="7"/>
  <c r="L28" i="7"/>
  <c r="K28" i="7"/>
  <c r="J28" i="7"/>
  <c r="I28" i="7"/>
  <c r="H28" i="7"/>
  <c r="G28" i="7"/>
  <c r="O28" i="7" s="1"/>
  <c r="F28" i="7"/>
  <c r="E28" i="7"/>
  <c r="D28" i="7"/>
  <c r="C28" i="7"/>
  <c r="B28" i="7"/>
  <c r="N27" i="7"/>
  <c r="N29" i="7" s="1"/>
  <c r="M27" i="7"/>
  <c r="M29" i="7" s="1"/>
  <c r="L27" i="7"/>
  <c r="L32" i="7" s="1"/>
  <c r="K27" i="7"/>
  <c r="J27" i="7"/>
  <c r="I27" i="7"/>
  <c r="H27" i="7"/>
  <c r="G27" i="7"/>
  <c r="J13" i="40" s="1"/>
  <c r="F27" i="7"/>
  <c r="I13" i="40" s="1"/>
  <c r="E27" i="7"/>
  <c r="E29" i="7" s="1"/>
  <c r="D27" i="7"/>
  <c r="D29" i="7" s="1"/>
  <c r="C27" i="7"/>
  <c r="B27" i="7"/>
  <c r="N24" i="7"/>
  <c r="M24" i="7"/>
  <c r="L24" i="7"/>
  <c r="K24" i="7"/>
  <c r="J24" i="7"/>
  <c r="I24" i="7"/>
  <c r="I22" i="7" s="1"/>
  <c r="H24" i="7"/>
  <c r="H22" i="7" s="1"/>
  <c r="G24" i="7"/>
  <c r="F24" i="7"/>
  <c r="E24" i="7"/>
  <c r="D24" i="7"/>
  <c r="C24" i="7"/>
  <c r="B24" i="7"/>
  <c r="B22" i="7" s="1"/>
  <c r="N21" i="7"/>
  <c r="M21" i="7"/>
  <c r="L21" i="7"/>
  <c r="K21" i="7"/>
  <c r="K23" i="7" s="1"/>
  <c r="K25" i="7" s="1"/>
  <c r="J21" i="7"/>
  <c r="I21" i="7"/>
  <c r="I23" i="7" s="1"/>
  <c r="I25" i="7" s="1"/>
  <c r="H21" i="7"/>
  <c r="G21" i="7"/>
  <c r="F21" i="7"/>
  <c r="E21" i="7"/>
  <c r="D21" i="7"/>
  <c r="C21" i="7"/>
  <c r="C23" i="7" s="1"/>
  <c r="C25" i="7" s="1"/>
  <c r="B21" i="7"/>
  <c r="B25" i="7" s="1"/>
  <c r="N20" i="7"/>
  <c r="Q12" i="40" s="1"/>
  <c r="M20" i="7"/>
  <c r="P12" i="40" s="1"/>
  <c r="L20" i="7"/>
  <c r="K20" i="7"/>
  <c r="J20" i="7"/>
  <c r="I20" i="7"/>
  <c r="H20" i="7"/>
  <c r="G20" i="7"/>
  <c r="F20" i="7"/>
  <c r="I12" i="40" s="1"/>
  <c r="E20" i="7"/>
  <c r="H12" i="40" s="1"/>
  <c r="D20" i="7"/>
  <c r="C20" i="7"/>
  <c r="B20" i="7"/>
  <c r="N17" i="7"/>
  <c r="M17" i="7"/>
  <c r="L17" i="7"/>
  <c r="K17" i="7"/>
  <c r="J17" i="7"/>
  <c r="I17" i="7"/>
  <c r="H17" i="7"/>
  <c r="H15" i="7" s="1"/>
  <c r="G17" i="7"/>
  <c r="F17" i="7"/>
  <c r="E17" i="7"/>
  <c r="D17" i="7"/>
  <c r="D15" i="7" s="1"/>
  <c r="C17" i="7"/>
  <c r="B17" i="7"/>
  <c r="N14" i="7"/>
  <c r="N16" i="7" s="1"/>
  <c r="N18" i="7" s="1"/>
  <c r="M14" i="7"/>
  <c r="M16" i="7" s="1"/>
  <c r="M18" i="7" s="1"/>
  <c r="L14" i="7"/>
  <c r="K14" i="7"/>
  <c r="J14" i="7"/>
  <c r="I14" i="7"/>
  <c r="H14" i="7"/>
  <c r="G14" i="7"/>
  <c r="G16" i="7" s="1"/>
  <c r="G18" i="7" s="1"/>
  <c r="F14" i="7"/>
  <c r="F16" i="7" s="1"/>
  <c r="F18" i="7" s="1"/>
  <c r="E14" i="7"/>
  <c r="D14" i="7"/>
  <c r="C14" i="7"/>
  <c r="B14" i="7"/>
  <c r="N13" i="7"/>
  <c r="M13" i="7"/>
  <c r="L13" i="7"/>
  <c r="K13" i="7"/>
  <c r="K15" i="7" s="1"/>
  <c r="J13" i="7"/>
  <c r="I13" i="7"/>
  <c r="H13" i="7"/>
  <c r="G13" i="7"/>
  <c r="J11" i="40" s="1"/>
  <c r="F13" i="7"/>
  <c r="E13" i="7"/>
  <c r="D13" i="7"/>
  <c r="C13" i="7"/>
  <c r="B13" i="7"/>
  <c r="N29" i="6"/>
  <c r="N27" i="6" s="1"/>
  <c r="M29" i="6"/>
  <c r="L29" i="6"/>
  <c r="K29" i="6"/>
  <c r="J29" i="6"/>
  <c r="I29" i="6"/>
  <c r="H29" i="6"/>
  <c r="L27" i="6"/>
  <c r="M27" i="6"/>
  <c r="F29" i="6"/>
  <c r="E29" i="6"/>
  <c r="D29" i="6"/>
  <c r="C29" i="6"/>
  <c r="B29" i="6"/>
  <c r="B27" i="6" s="1"/>
  <c r="N26" i="6"/>
  <c r="N38" i="6" s="1"/>
  <c r="M26" i="6"/>
  <c r="L26" i="6"/>
  <c r="K26" i="6"/>
  <c r="J26" i="6"/>
  <c r="I26" i="6"/>
  <c r="H26" i="6"/>
  <c r="K28" i="6"/>
  <c r="K30" i="6" s="1"/>
  <c r="M38" i="6"/>
  <c r="F26" i="6"/>
  <c r="E26" i="6"/>
  <c r="D26" i="6"/>
  <c r="C26" i="6"/>
  <c r="B26" i="6"/>
  <c r="E38" i="6"/>
  <c r="F28" i="6"/>
  <c r="F30" i="6" s="1"/>
  <c r="N25" i="6"/>
  <c r="M25" i="6"/>
  <c r="L25" i="6"/>
  <c r="K25" i="6"/>
  <c r="J25" i="6"/>
  <c r="J27" i="6" s="1"/>
  <c r="I25" i="6"/>
  <c r="I37" i="6" s="1"/>
  <c r="H25" i="6"/>
  <c r="N37" i="6"/>
  <c r="F25" i="6"/>
  <c r="E25" i="6"/>
  <c r="D25" i="6"/>
  <c r="C25" i="6"/>
  <c r="B25" i="6"/>
  <c r="F37" i="6"/>
  <c r="G29" i="6"/>
  <c r="G26" i="6"/>
  <c r="G25" i="6"/>
  <c r="N17" i="6"/>
  <c r="M17" i="6"/>
  <c r="L17" i="6"/>
  <c r="K17" i="6"/>
  <c r="J17" i="6"/>
  <c r="I17" i="6"/>
  <c r="I15" i="6" s="1"/>
  <c r="H17" i="6"/>
  <c r="H15" i="6" s="1"/>
  <c r="G17" i="6"/>
  <c r="G15" i="6" s="1"/>
  <c r="F17" i="6"/>
  <c r="E17" i="6"/>
  <c r="D17" i="6"/>
  <c r="C17" i="6"/>
  <c r="B17" i="6"/>
  <c r="N14" i="6"/>
  <c r="N16" i="6" s="1"/>
  <c r="N18" i="6" s="1"/>
  <c r="M14" i="6"/>
  <c r="L14" i="6"/>
  <c r="K14" i="6"/>
  <c r="J14" i="6"/>
  <c r="I14" i="6"/>
  <c r="I16" i="6" s="1"/>
  <c r="I18" i="6" s="1"/>
  <c r="H14" i="6"/>
  <c r="H16" i="6" s="1"/>
  <c r="H18" i="6" s="1"/>
  <c r="G14" i="6"/>
  <c r="G23" i="6" s="1"/>
  <c r="F14" i="6"/>
  <c r="F16" i="6" s="1"/>
  <c r="F18" i="6" s="1"/>
  <c r="E14" i="6"/>
  <c r="D14" i="6"/>
  <c r="C14" i="6"/>
  <c r="C23" i="6" s="1"/>
  <c r="B14" i="6"/>
  <c r="N13" i="6"/>
  <c r="M13" i="6"/>
  <c r="P10" i="40" s="1"/>
  <c r="L13" i="6"/>
  <c r="L22" i="6" s="1"/>
  <c r="L31" i="6" s="1"/>
  <c r="K13" i="6"/>
  <c r="N10" i="40" s="1"/>
  <c r="J13" i="6"/>
  <c r="I13" i="6"/>
  <c r="H13" i="6"/>
  <c r="G13" i="6"/>
  <c r="F13" i="6"/>
  <c r="E13" i="6"/>
  <c r="H10" i="40" s="1"/>
  <c r="D13" i="6"/>
  <c r="D22" i="6" s="1"/>
  <c r="D31" i="6" s="1"/>
  <c r="C13" i="6"/>
  <c r="B13" i="6"/>
  <c r="N88" i="11"/>
  <c r="M88" i="11"/>
  <c r="M86" i="11" s="1"/>
  <c r="L88" i="11"/>
  <c r="K88" i="11"/>
  <c r="J88" i="11"/>
  <c r="J86" i="11" s="1"/>
  <c r="I88" i="11"/>
  <c r="H88" i="11"/>
  <c r="F88" i="11"/>
  <c r="E88" i="11"/>
  <c r="D88" i="11"/>
  <c r="C88" i="11"/>
  <c r="C86" i="11" s="1"/>
  <c r="B88" i="11"/>
  <c r="N85" i="11"/>
  <c r="M85" i="11"/>
  <c r="L85" i="11"/>
  <c r="L97" i="11" s="1"/>
  <c r="K85" i="11"/>
  <c r="J85" i="11"/>
  <c r="I85" i="11"/>
  <c r="H85" i="11"/>
  <c r="M87" i="11"/>
  <c r="M89" i="11" s="1"/>
  <c r="N87" i="11"/>
  <c r="F85" i="11"/>
  <c r="E85" i="11"/>
  <c r="D85" i="11"/>
  <c r="C85" i="11"/>
  <c r="B85" i="11"/>
  <c r="F87" i="11"/>
  <c r="N84" i="11"/>
  <c r="M84" i="11"/>
  <c r="L84" i="11"/>
  <c r="K84" i="11"/>
  <c r="K96" i="11" s="1"/>
  <c r="J84" i="11"/>
  <c r="J108" i="11" s="1"/>
  <c r="I84" i="11"/>
  <c r="H84" i="11"/>
  <c r="L96" i="11"/>
  <c r="L100" i="11" s="1"/>
  <c r="L101" i="11" s="1"/>
  <c r="F84" i="11"/>
  <c r="E84" i="11"/>
  <c r="E89" i="11" s="1"/>
  <c r="D84" i="11"/>
  <c r="C84" i="11"/>
  <c r="B84" i="11"/>
  <c r="E14" i="38"/>
  <c r="N76" i="11"/>
  <c r="M76" i="11"/>
  <c r="L76" i="11"/>
  <c r="K76" i="11"/>
  <c r="J76" i="11"/>
  <c r="I76" i="11"/>
  <c r="H76" i="11"/>
  <c r="F76" i="11"/>
  <c r="E76" i="11"/>
  <c r="D76" i="11"/>
  <c r="C76" i="11"/>
  <c r="B76" i="11"/>
  <c r="N73" i="11"/>
  <c r="M73" i="11"/>
  <c r="L73" i="11"/>
  <c r="K73" i="11"/>
  <c r="J73" i="11"/>
  <c r="I73" i="11"/>
  <c r="H73" i="11"/>
  <c r="M75" i="11"/>
  <c r="N75" i="11"/>
  <c r="F73" i="11"/>
  <c r="E73" i="11"/>
  <c r="E75" i="11" s="1"/>
  <c r="E77" i="11" s="1"/>
  <c r="D73" i="11"/>
  <c r="D75" i="11" s="1"/>
  <c r="D77" i="11" s="1"/>
  <c r="C73" i="11"/>
  <c r="B73" i="11"/>
  <c r="F75" i="11"/>
  <c r="F77" i="11" s="1"/>
  <c r="N72" i="11"/>
  <c r="M72" i="11"/>
  <c r="L72" i="11"/>
  <c r="K72" i="11"/>
  <c r="K74" i="11" s="1"/>
  <c r="J72" i="11"/>
  <c r="I72" i="11"/>
  <c r="H72" i="11"/>
  <c r="O9" i="40"/>
  <c r="P9" i="40"/>
  <c r="F72" i="11"/>
  <c r="E72" i="11"/>
  <c r="D72" i="11"/>
  <c r="C72" i="11"/>
  <c r="B72" i="11"/>
  <c r="N69" i="11"/>
  <c r="M69" i="11"/>
  <c r="L69" i="11"/>
  <c r="K69" i="11"/>
  <c r="J69" i="11"/>
  <c r="I69" i="11"/>
  <c r="H69" i="11"/>
  <c r="F69" i="11"/>
  <c r="E69" i="11"/>
  <c r="D69" i="11"/>
  <c r="C69" i="11"/>
  <c r="B69" i="11"/>
  <c r="F67" i="11"/>
  <c r="N66" i="11"/>
  <c r="M66" i="11"/>
  <c r="L66" i="11"/>
  <c r="K66" i="11"/>
  <c r="J66" i="11"/>
  <c r="I66" i="11"/>
  <c r="I68" i="11" s="1"/>
  <c r="H66" i="11"/>
  <c r="H68" i="11" s="1"/>
  <c r="K82" i="11"/>
  <c r="N68" i="11"/>
  <c r="N70" i="11" s="1"/>
  <c r="F66" i="11"/>
  <c r="E66" i="11"/>
  <c r="D66" i="11"/>
  <c r="C66" i="11"/>
  <c r="B66" i="11"/>
  <c r="F82" i="11"/>
  <c r="N65" i="11"/>
  <c r="M65" i="11"/>
  <c r="L65" i="11"/>
  <c r="K65" i="11"/>
  <c r="J65" i="11"/>
  <c r="J81" i="11" s="1"/>
  <c r="J90" i="11" s="1"/>
  <c r="I65" i="11"/>
  <c r="H65" i="11"/>
  <c r="N8" i="40"/>
  <c r="Q8" i="40"/>
  <c r="F65" i="11"/>
  <c r="E65" i="11"/>
  <c r="D65" i="11"/>
  <c r="C65" i="11"/>
  <c r="B65" i="11"/>
  <c r="D67" i="11"/>
  <c r="G88" i="11"/>
  <c r="G85" i="11"/>
  <c r="G84" i="11"/>
  <c r="G76" i="11"/>
  <c r="G74" i="11" s="1"/>
  <c r="G73" i="11"/>
  <c r="G72" i="11"/>
  <c r="G69" i="11"/>
  <c r="G66" i="11"/>
  <c r="G68" i="11" s="1"/>
  <c r="G65" i="11"/>
  <c r="J8" i="40" s="1"/>
  <c r="N62" i="11"/>
  <c r="M62" i="11"/>
  <c r="L62" i="11"/>
  <c r="K62" i="11"/>
  <c r="K60" i="11" s="1"/>
  <c r="J62" i="11"/>
  <c r="J60" i="11" s="1"/>
  <c r="I62" i="11"/>
  <c r="I60" i="11" s="1"/>
  <c r="H62" i="11"/>
  <c r="G62" i="11"/>
  <c r="F62" i="11"/>
  <c r="E62" i="11"/>
  <c r="D62" i="11"/>
  <c r="C62" i="11"/>
  <c r="C60" i="11" s="1"/>
  <c r="B62" i="11"/>
  <c r="N59" i="11"/>
  <c r="M59" i="11"/>
  <c r="L59" i="11"/>
  <c r="K59" i="11"/>
  <c r="J59" i="11"/>
  <c r="I59" i="11"/>
  <c r="I61" i="11" s="1"/>
  <c r="I63" i="11" s="1"/>
  <c r="H59" i="11"/>
  <c r="G59" i="11"/>
  <c r="G61" i="11" s="1"/>
  <c r="F59" i="11"/>
  <c r="E59" i="11"/>
  <c r="D59" i="11"/>
  <c r="C59" i="11"/>
  <c r="B59" i="11"/>
  <c r="P59" i="11" s="1"/>
  <c r="N58" i="11"/>
  <c r="Q7" i="40" s="1"/>
  <c r="M58" i="11"/>
  <c r="M60" i="11" s="1"/>
  <c r="L58" i="11"/>
  <c r="O7" i="40" s="1"/>
  <c r="K58" i="11"/>
  <c r="J58" i="11"/>
  <c r="I58" i="11"/>
  <c r="H58" i="11"/>
  <c r="G58" i="11"/>
  <c r="J7" i="40" s="1"/>
  <c r="F58" i="11"/>
  <c r="E58" i="11"/>
  <c r="D58" i="11"/>
  <c r="C58" i="11"/>
  <c r="B58" i="11"/>
  <c r="N50" i="11"/>
  <c r="M50" i="11"/>
  <c r="L50" i="11"/>
  <c r="L48" i="11" s="1"/>
  <c r="K50" i="11"/>
  <c r="K48" i="11" s="1"/>
  <c r="J50" i="11"/>
  <c r="I50" i="11"/>
  <c r="H50" i="11"/>
  <c r="G50" i="11"/>
  <c r="G48" i="11" s="1"/>
  <c r="F50" i="11"/>
  <c r="E50" i="11"/>
  <c r="D50" i="11"/>
  <c r="C50" i="11"/>
  <c r="C48" i="11" s="1"/>
  <c r="B50" i="11"/>
  <c r="B48" i="11" s="1"/>
  <c r="N47" i="11"/>
  <c r="M47" i="11"/>
  <c r="L47" i="11"/>
  <c r="K47" i="11"/>
  <c r="K97" i="11" s="1"/>
  <c r="J47" i="11"/>
  <c r="I47" i="11"/>
  <c r="I49" i="11" s="1"/>
  <c r="I51" i="11" s="1"/>
  <c r="H47" i="11"/>
  <c r="H49" i="11" s="1"/>
  <c r="H51" i="11" s="1"/>
  <c r="G47" i="11"/>
  <c r="F47" i="11"/>
  <c r="E47" i="11"/>
  <c r="D47" i="11"/>
  <c r="C47" i="11"/>
  <c r="C49" i="11" s="1"/>
  <c r="C51" i="11" s="1"/>
  <c r="B47" i="11"/>
  <c r="N46" i="11"/>
  <c r="N48" i="11" s="1"/>
  <c r="M46" i="11"/>
  <c r="L46" i="11"/>
  <c r="K46" i="11"/>
  <c r="J46" i="11"/>
  <c r="I46" i="11"/>
  <c r="H46" i="11"/>
  <c r="G46" i="11"/>
  <c r="F46" i="11"/>
  <c r="F48" i="11" s="1"/>
  <c r="E46" i="11"/>
  <c r="D46" i="11"/>
  <c r="C46" i="11"/>
  <c r="B46" i="11"/>
  <c r="N38" i="11"/>
  <c r="M38" i="11"/>
  <c r="L38" i="11"/>
  <c r="K38" i="11"/>
  <c r="K36" i="11" s="1"/>
  <c r="J38" i="11"/>
  <c r="J36" i="11" s="1"/>
  <c r="I38" i="11"/>
  <c r="H38" i="11"/>
  <c r="G38" i="11"/>
  <c r="F38" i="11"/>
  <c r="E38" i="11"/>
  <c r="D38" i="11"/>
  <c r="C38" i="11"/>
  <c r="B38" i="11"/>
  <c r="N35" i="11"/>
  <c r="M35" i="11"/>
  <c r="L35" i="11"/>
  <c r="K35" i="11"/>
  <c r="J35" i="11"/>
  <c r="I35" i="11"/>
  <c r="H35" i="11"/>
  <c r="H37" i="11" s="1"/>
  <c r="H39" i="11" s="1"/>
  <c r="G35" i="11"/>
  <c r="G37" i="11" s="1"/>
  <c r="F35" i="11"/>
  <c r="E35" i="11"/>
  <c r="D35" i="11"/>
  <c r="C35" i="11"/>
  <c r="B35" i="11"/>
  <c r="N34" i="11"/>
  <c r="N36" i="11" s="1"/>
  <c r="M34" i="11"/>
  <c r="P6" i="40" s="1"/>
  <c r="L34" i="11"/>
  <c r="O6" i="40" s="1"/>
  <c r="K34" i="11"/>
  <c r="J34" i="11"/>
  <c r="I34" i="11"/>
  <c r="H34" i="11"/>
  <c r="G34" i="11"/>
  <c r="J6" i="40" s="1"/>
  <c r="F34" i="11"/>
  <c r="I6" i="40" s="1"/>
  <c r="E34" i="11"/>
  <c r="H6" i="40" s="1"/>
  <c r="D34" i="11"/>
  <c r="G6" i="40" s="1"/>
  <c r="C34" i="11"/>
  <c r="B34" i="11"/>
  <c r="N31" i="11"/>
  <c r="N29" i="11" s="1"/>
  <c r="M31" i="11"/>
  <c r="L31" i="11"/>
  <c r="K31" i="11"/>
  <c r="J31" i="11"/>
  <c r="I31" i="11"/>
  <c r="H31" i="11"/>
  <c r="G31" i="11"/>
  <c r="F31" i="11"/>
  <c r="E31" i="11"/>
  <c r="D31" i="11"/>
  <c r="C31" i="11"/>
  <c r="C29" i="11" s="1"/>
  <c r="B31" i="11"/>
  <c r="B29" i="11" s="1"/>
  <c r="I29" i="11"/>
  <c r="H29" i="11"/>
  <c r="N28" i="11"/>
  <c r="M28" i="11"/>
  <c r="L28" i="11"/>
  <c r="K28" i="11"/>
  <c r="J28" i="11"/>
  <c r="I28" i="11"/>
  <c r="H28" i="11"/>
  <c r="G28" i="11"/>
  <c r="G30" i="11" s="1"/>
  <c r="F28" i="11"/>
  <c r="E28" i="11"/>
  <c r="D28" i="11"/>
  <c r="C28" i="11"/>
  <c r="B28" i="11"/>
  <c r="O28" i="11" s="1"/>
  <c r="N27" i="11"/>
  <c r="M27" i="11"/>
  <c r="L27" i="11"/>
  <c r="L29" i="11" s="1"/>
  <c r="K27" i="11"/>
  <c r="J27" i="11"/>
  <c r="I27" i="11"/>
  <c r="H27" i="11"/>
  <c r="G27" i="11"/>
  <c r="J5" i="40" s="1"/>
  <c r="F27" i="11"/>
  <c r="E27" i="11"/>
  <c r="E29" i="11" s="1"/>
  <c r="D27" i="11"/>
  <c r="C27" i="11"/>
  <c r="C43" i="11" s="1"/>
  <c r="B27" i="11"/>
  <c r="N24" i="11"/>
  <c r="M24" i="11"/>
  <c r="L24" i="11"/>
  <c r="K24" i="11"/>
  <c r="J24" i="11"/>
  <c r="I24" i="11"/>
  <c r="H24" i="11"/>
  <c r="G24" i="11"/>
  <c r="F24" i="11"/>
  <c r="E24" i="11"/>
  <c r="D24" i="11"/>
  <c r="C24" i="11"/>
  <c r="B24" i="11"/>
  <c r="N21" i="11"/>
  <c r="M21" i="11"/>
  <c r="L21" i="11"/>
  <c r="K21" i="11"/>
  <c r="K23" i="11" s="1"/>
  <c r="K25" i="11" s="1"/>
  <c r="J21" i="11"/>
  <c r="J23" i="11" s="1"/>
  <c r="J25" i="11" s="1"/>
  <c r="I21" i="11"/>
  <c r="H21" i="11"/>
  <c r="H23" i="11" s="1"/>
  <c r="H25" i="11" s="1"/>
  <c r="G21" i="11"/>
  <c r="G23" i="11" s="1"/>
  <c r="F21" i="11"/>
  <c r="E21" i="11"/>
  <c r="D21" i="11"/>
  <c r="C21" i="11"/>
  <c r="B21" i="11"/>
  <c r="B23" i="11" s="1"/>
  <c r="B25" i="11" s="1"/>
  <c r="N20" i="11"/>
  <c r="Q4" i="40" s="1"/>
  <c r="M20" i="11"/>
  <c r="P4" i="40" s="1"/>
  <c r="L20" i="11"/>
  <c r="K20" i="11"/>
  <c r="J20" i="11"/>
  <c r="I20" i="11"/>
  <c r="H20" i="11"/>
  <c r="H22" i="11" s="1"/>
  <c r="G20" i="11"/>
  <c r="F20" i="11"/>
  <c r="E20" i="11"/>
  <c r="H4" i="40" s="1"/>
  <c r="D20" i="11"/>
  <c r="C20" i="11"/>
  <c r="B20" i="11"/>
  <c r="C23" i="11"/>
  <c r="C25" i="11" s="1"/>
  <c r="O21" i="11"/>
  <c r="M22" i="11"/>
  <c r="L22" i="11"/>
  <c r="N17" i="11"/>
  <c r="M17" i="11"/>
  <c r="L17" i="11"/>
  <c r="K17" i="11"/>
  <c r="K15" i="11" s="1"/>
  <c r="J17" i="11"/>
  <c r="J15" i="11" s="1"/>
  <c r="I17" i="11"/>
  <c r="I15" i="11" s="1"/>
  <c r="H17" i="11"/>
  <c r="G17" i="11"/>
  <c r="F17" i="11"/>
  <c r="E17" i="11"/>
  <c r="D17" i="11"/>
  <c r="C17" i="11"/>
  <c r="B17" i="11"/>
  <c r="B15" i="11" s="1"/>
  <c r="N14" i="11"/>
  <c r="M14" i="11"/>
  <c r="L14" i="11"/>
  <c r="K14" i="11"/>
  <c r="J14" i="11"/>
  <c r="I14" i="11"/>
  <c r="H14" i="11"/>
  <c r="H16" i="11" s="1"/>
  <c r="H18" i="11" s="1"/>
  <c r="G14" i="11"/>
  <c r="G16" i="11" s="1"/>
  <c r="F14" i="11"/>
  <c r="E14" i="11"/>
  <c r="D14" i="11"/>
  <c r="C14" i="11"/>
  <c r="C16" i="11" s="1"/>
  <c r="C18" i="11" s="1"/>
  <c r="B14" i="11"/>
  <c r="N13" i="11"/>
  <c r="Q3" i="40" s="1"/>
  <c r="M13" i="11"/>
  <c r="L13" i="11"/>
  <c r="K13" i="11"/>
  <c r="J13" i="11"/>
  <c r="I13" i="11"/>
  <c r="H13" i="11"/>
  <c r="G13" i="11"/>
  <c r="J3" i="40" s="1"/>
  <c r="F13" i="11"/>
  <c r="I3" i="40" s="1"/>
  <c r="E13" i="11"/>
  <c r="D13" i="11"/>
  <c r="C13" i="11"/>
  <c r="B13" i="11"/>
  <c r="N50" i="8"/>
  <c r="M50" i="8"/>
  <c r="L50" i="8"/>
  <c r="K50" i="8"/>
  <c r="J50" i="8"/>
  <c r="I50" i="8"/>
  <c r="H50" i="8"/>
  <c r="H48" i="8" s="1"/>
  <c r="G50" i="8"/>
  <c r="F50" i="8"/>
  <c r="E50" i="8"/>
  <c r="D50" i="8"/>
  <c r="C50" i="8"/>
  <c r="B50" i="8"/>
  <c r="B48" i="8"/>
  <c r="N47" i="8"/>
  <c r="M47" i="8"/>
  <c r="L47" i="8"/>
  <c r="K47" i="8"/>
  <c r="J47" i="8"/>
  <c r="I47" i="8"/>
  <c r="I49" i="8" s="1"/>
  <c r="I51" i="8" s="1"/>
  <c r="H47" i="8"/>
  <c r="H49" i="8" s="1"/>
  <c r="H51" i="8" s="1"/>
  <c r="G47" i="8"/>
  <c r="G49" i="8" s="1"/>
  <c r="G51" i="8" s="1"/>
  <c r="F47" i="8"/>
  <c r="E47" i="8"/>
  <c r="D47" i="8"/>
  <c r="C47" i="8"/>
  <c r="C59" i="8" s="1"/>
  <c r="B47" i="8"/>
  <c r="O47" i="8" s="1"/>
  <c r="N46" i="8"/>
  <c r="N58" i="8" s="1"/>
  <c r="M46" i="8"/>
  <c r="M58" i="8" s="1"/>
  <c r="M62" i="8" s="1"/>
  <c r="L46" i="8"/>
  <c r="L58" i="8" s="1"/>
  <c r="L62" i="8" s="1"/>
  <c r="K46" i="8"/>
  <c r="J46" i="8"/>
  <c r="I46" i="8"/>
  <c r="H46" i="8"/>
  <c r="G32" i="38" s="1"/>
  <c r="G46" i="8"/>
  <c r="F46" i="8"/>
  <c r="E32" i="38" s="1"/>
  <c r="E46" i="8"/>
  <c r="E48" i="8" s="1"/>
  <c r="D46" i="8"/>
  <c r="C32" i="38" s="1"/>
  <c r="C46" i="8"/>
  <c r="B46" i="8"/>
  <c r="N38" i="8"/>
  <c r="M38" i="8"/>
  <c r="L38" i="8"/>
  <c r="K38" i="8"/>
  <c r="J38" i="8"/>
  <c r="I38" i="8"/>
  <c r="H38" i="8"/>
  <c r="G38" i="8"/>
  <c r="F38" i="8"/>
  <c r="E38" i="8"/>
  <c r="D38" i="8"/>
  <c r="C38" i="8"/>
  <c r="B38" i="8"/>
  <c r="N35" i="8"/>
  <c r="M35" i="8"/>
  <c r="M37" i="8" s="1"/>
  <c r="M39" i="8" s="1"/>
  <c r="L35" i="8"/>
  <c r="L37" i="8" s="1"/>
  <c r="L39" i="8" s="1"/>
  <c r="K35" i="8"/>
  <c r="K44" i="8" s="1"/>
  <c r="J35" i="8"/>
  <c r="I35" i="8"/>
  <c r="H35" i="8"/>
  <c r="G35" i="8"/>
  <c r="F35" i="8"/>
  <c r="F44" i="8" s="1"/>
  <c r="E35" i="8"/>
  <c r="O35" i="8" s="1"/>
  <c r="P37" i="8" s="1"/>
  <c r="D35" i="8"/>
  <c r="D37" i="8" s="1"/>
  <c r="D39" i="8" s="1"/>
  <c r="C35" i="8"/>
  <c r="B35" i="8"/>
  <c r="N34" i="8"/>
  <c r="M34" i="8"/>
  <c r="L34" i="8"/>
  <c r="K34" i="8"/>
  <c r="K43" i="8" s="1"/>
  <c r="K52" i="8" s="1"/>
  <c r="J34" i="8"/>
  <c r="I34" i="8"/>
  <c r="I43" i="8" s="1"/>
  <c r="H34" i="8"/>
  <c r="K59" i="40" s="1"/>
  <c r="G34" i="8"/>
  <c r="J59" i="40" s="1"/>
  <c r="F34" i="8"/>
  <c r="E34" i="8"/>
  <c r="D34" i="8"/>
  <c r="C34" i="8"/>
  <c r="C43" i="8" s="1"/>
  <c r="C52" i="8" s="1"/>
  <c r="B34" i="8"/>
  <c r="F59" i="40" s="1"/>
  <c r="N31" i="8"/>
  <c r="N29" i="8" s="1"/>
  <c r="M31" i="8"/>
  <c r="L31" i="8"/>
  <c r="K31" i="8"/>
  <c r="J31" i="8"/>
  <c r="I31" i="8"/>
  <c r="H31" i="8"/>
  <c r="G31" i="8"/>
  <c r="F31" i="8"/>
  <c r="E31" i="8"/>
  <c r="D31" i="8"/>
  <c r="C31" i="8"/>
  <c r="C29" i="8" s="1"/>
  <c r="B31" i="8"/>
  <c r="B29" i="8" s="1"/>
  <c r="K29" i="8"/>
  <c r="J29" i="8"/>
  <c r="I29" i="8"/>
  <c r="N28" i="8"/>
  <c r="M28" i="8"/>
  <c r="L28" i="8"/>
  <c r="K28" i="8"/>
  <c r="K30" i="8" s="1"/>
  <c r="K32" i="8" s="1"/>
  <c r="J28" i="8"/>
  <c r="J30" i="8" s="1"/>
  <c r="J32" i="8" s="1"/>
  <c r="I28" i="8"/>
  <c r="I30" i="8" s="1"/>
  <c r="I32" i="8" s="1"/>
  <c r="H28" i="8"/>
  <c r="H44" i="8" s="1"/>
  <c r="G28" i="8"/>
  <c r="G30" i="8" s="1"/>
  <c r="F28" i="8"/>
  <c r="E28" i="8"/>
  <c r="D28" i="8"/>
  <c r="C28" i="8"/>
  <c r="C30" i="8" s="1"/>
  <c r="C32" i="8" s="1"/>
  <c r="B28" i="8"/>
  <c r="N27" i="8"/>
  <c r="M27" i="8"/>
  <c r="L27" i="8"/>
  <c r="L29" i="8" s="1"/>
  <c r="K27" i="8"/>
  <c r="J27" i="8"/>
  <c r="I27" i="8"/>
  <c r="H27" i="8"/>
  <c r="G27" i="8"/>
  <c r="J58" i="40" s="1"/>
  <c r="F27" i="8"/>
  <c r="F29" i="8" s="1"/>
  <c r="E27" i="8"/>
  <c r="E29" i="8" s="1"/>
  <c r="D27" i="8"/>
  <c r="G58" i="40" s="1"/>
  <c r="C27" i="8"/>
  <c r="B27" i="8"/>
  <c r="E30" i="8"/>
  <c r="Q58" i="40"/>
  <c r="N24" i="8"/>
  <c r="M24" i="8"/>
  <c r="L24" i="8"/>
  <c r="K24" i="8"/>
  <c r="J24" i="8"/>
  <c r="J22" i="8" s="1"/>
  <c r="I24" i="8"/>
  <c r="I22" i="8" s="1"/>
  <c r="H24" i="8"/>
  <c r="H22" i="8" s="1"/>
  <c r="G24" i="8"/>
  <c r="F24" i="8"/>
  <c r="E24" i="8"/>
  <c r="D24" i="8"/>
  <c r="C24" i="8"/>
  <c r="B24" i="8"/>
  <c r="N21" i="8"/>
  <c r="M21" i="8"/>
  <c r="L21" i="8"/>
  <c r="K21" i="8"/>
  <c r="J21" i="8"/>
  <c r="I21" i="8"/>
  <c r="H21" i="8"/>
  <c r="H23" i="8" s="1"/>
  <c r="H25" i="8" s="1"/>
  <c r="G21" i="8"/>
  <c r="G23" i="8" s="1"/>
  <c r="G25" i="8" s="1"/>
  <c r="F21" i="8"/>
  <c r="E21" i="8"/>
  <c r="D21" i="8"/>
  <c r="C21" i="8"/>
  <c r="B21" i="8"/>
  <c r="B23" i="8" s="1"/>
  <c r="B25" i="8" s="1"/>
  <c r="N20" i="8"/>
  <c r="Q57" i="40" s="1"/>
  <c r="M20" i="8"/>
  <c r="P57" i="40" s="1"/>
  <c r="L20" i="8"/>
  <c r="L22" i="8" s="1"/>
  <c r="K20" i="8"/>
  <c r="J20" i="8"/>
  <c r="I20" i="8"/>
  <c r="H20" i="8"/>
  <c r="G20" i="8"/>
  <c r="J57" i="40" s="1"/>
  <c r="F20" i="8"/>
  <c r="E20" i="8"/>
  <c r="E22" i="8" s="1"/>
  <c r="D20" i="8"/>
  <c r="D25" i="8" s="1"/>
  <c r="C20" i="8"/>
  <c r="C22" i="8" s="1"/>
  <c r="B20" i="8"/>
  <c r="C23" i="8"/>
  <c r="C25" i="8" s="1"/>
  <c r="K57" i="40"/>
  <c r="N17" i="8"/>
  <c r="M17" i="8"/>
  <c r="L17" i="8"/>
  <c r="K17" i="8"/>
  <c r="J17" i="8"/>
  <c r="I17" i="8"/>
  <c r="H17" i="8"/>
  <c r="H15" i="8" s="1"/>
  <c r="G17" i="8"/>
  <c r="F17" i="8"/>
  <c r="E17" i="8"/>
  <c r="D17" i="8"/>
  <c r="C17" i="8"/>
  <c r="B17" i="8"/>
  <c r="N14" i="8"/>
  <c r="M14" i="8"/>
  <c r="L14" i="8"/>
  <c r="K14" i="8"/>
  <c r="J14" i="8"/>
  <c r="J16" i="8" s="1"/>
  <c r="J18" i="8" s="1"/>
  <c r="I14" i="8"/>
  <c r="H14" i="8"/>
  <c r="H16" i="8" s="1"/>
  <c r="H18" i="8" s="1"/>
  <c r="G14" i="8"/>
  <c r="G16" i="8" s="1"/>
  <c r="G18" i="8" s="1"/>
  <c r="F14" i="8"/>
  <c r="E14" i="8"/>
  <c r="D14" i="8"/>
  <c r="C14" i="8"/>
  <c r="B14" i="8"/>
  <c r="N13" i="8"/>
  <c r="M13" i="8"/>
  <c r="P56" i="40" s="1"/>
  <c r="L13" i="8"/>
  <c r="K13" i="8"/>
  <c r="J13" i="8"/>
  <c r="I13" i="8"/>
  <c r="H13" i="8"/>
  <c r="G13" i="8"/>
  <c r="F13" i="8"/>
  <c r="E13" i="8"/>
  <c r="H56" i="40" s="1"/>
  <c r="D13" i="8"/>
  <c r="C13" i="8"/>
  <c r="B13" i="8"/>
  <c r="B16" i="8"/>
  <c r="B18" i="8" s="1"/>
  <c r="L56" i="40"/>
  <c r="F56" i="40"/>
  <c r="N14" i="12"/>
  <c r="M14" i="12"/>
  <c r="L14" i="12"/>
  <c r="L16" i="12" s="1"/>
  <c r="L18" i="12" s="1"/>
  <c r="K14" i="12"/>
  <c r="K37" i="12" s="1"/>
  <c r="J14" i="12"/>
  <c r="J37" i="12" s="1"/>
  <c r="I14" i="12"/>
  <c r="I16" i="12" s="1"/>
  <c r="H14" i="12"/>
  <c r="G14" i="12"/>
  <c r="F14" i="12"/>
  <c r="E14" i="12"/>
  <c r="D14" i="12"/>
  <c r="D37" i="12" s="1"/>
  <c r="C14" i="12"/>
  <c r="C16" i="12" s="1"/>
  <c r="C18" i="12" s="1"/>
  <c r="B14" i="12"/>
  <c r="B16" i="12" s="1"/>
  <c r="B18" i="12" s="1"/>
  <c r="N13" i="12"/>
  <c r="N15" i="12" s="1"/>
  <c r="M13" i="12"/>
  <c r="L13" i="12"/>
  <c r="K13" i="12"/>
  <c r="J13" i="12"/>
  <c r="J15" i="12" s="1"/>
  <c r="I13" i="12"/>
  <c r="H13" i="12"/>
  <c r="H36" i="12" s="1"/>
  <c r="H45" i="12" s="1"/>
  <c r="G13" i="12"/>
  <c r="F13" i="12"/>
  <c r="I74" i="40" s="1"/>
  <c r="E13" i="12"/>
  <c r="D13" i="12"/>
  <c r="C13" i="12"/>
  <c r="B13" i="12"/>
  <c r="L74" i="40"/>
  <c r="N81" i="12"/>
  <c r="M81" i="12"/>
  <c r="L81" i="12"/>
  <c r="K81" i="12"/>
  <c r="J81" i="12"/>
  <c r="I81" i="12"/>
  <c r="H81" i="12"/>
  <c r="F81" i="12"/>
  <c r="E81" i="12"/>
  <c r="D81" i="12"/>
  <c r="C81" i="12"/>
  <c r="B81" i="12"/>
  <c r="N78" i="12"/>
  <c r="N90" i="12" s="1"/>
  <c r="M78" i="12"/>
  <c r="M80" i="12" s="1"/>
  <c r="L78" i="12"/>
  <c r="L90" i="12" s="1"/>
  <c r="K78" i="12"/>
  <c r="K90" i="12" s="1"/>
  <c r="J78" i="12"/>
  <c r="J80" i="12" s="1"/>
  <c r="J82" i="12" s="1"/>
  <c r="I78" i="12"/>
  <c r="H78" i="12"/>
  <c r="F78" i="12"/>
  <c r="F80" i="12" s="1"/>
  <c r="E78" i="12"/>
  <c r="D78" i="12"/>
  <c r="C78" i="12"/>
  <c r="C90" i="12" s="1"/>
  <c r="B78" i="12"/>
  <c r="B80" i="12" s="1"/>
  <c r="B82" i="12" s="1"/>
  <c r="N77" i="12"/>
  <c r="M23" i="38" s="1"/>
  <c r="M77" i="12"/>
  <c r="M79" i="12" s="1"/>
  <c r="L77" i="12"/>
  <c r="K77" i="12"/>
  <c r="J77" i="12"/>
  <c r="I23" i="38" s="1"/>
  <c r="I77" i="12"/>
  <c r="H23" i="38" s="1"/>
  <c r="H77" i="12"/>
  <c r="H89" i="12" s="1"/>
  <c r="F77" i="12"/>
  <c r="F79" i="12" s="1"/>
  <c r="E77" i="12"/>
  <c r="D77" i="12"/>
  <c r="C77" i="12"/>
  <c r="B77" i="12"/>
  <c r="B79" i="12" s="1"/>
  <c r="N69" i="12"/>
  <c r="M69" i="12"/>
  <c r="L69" i="12"/>
  <c r="L67" i="12" s="1"/>
  <c r="K69" i="12"/>
  <c r="J69" i="12"/>
  <c r="I69" i="12"/>
  <c r="H69" i="12"/>
  <c r="F69" i="12"/>
  <c r="E69" i="12"/>
  <c r="D69" i="12"/>
  <c r="D67" i="12" s="1"/>
  <c r="C69" i="12"/>
  <c r="B69" i="12"/>
  <c r="N66" i="12"/>
  <c r="N68" i="12" s="1"/>
  <c r="M66" i="12"/>
  <c r="M68" i="12" s="1"/>
  <c r="L66" i="12"/>
  <c r="L68" i="12" s="1"/>
  <c r="L70" i="12" s="1"/>
  <c r="K66" i="12"/>
  <c r="K68" i="12" s="1"/>
  <c r="K70" i="12" s="1"/>
  <c r="J66" i="12"/>
  <c r="J68" i="12" s="1"/>
  <c r="J70" i="12" s="1"/>
  <c r="I66" i="12"/>
  <c r="I68" i="12" s="1"/>
  <c r="H66" i="12"/>
  <c r="F66" i="12"/>
  <c r="E66" i="12"/>
  <c r="E68" i="12" s="1"/>
  <c r="D66" i="12"/>
  <c r="D68" i="12" s="1"/>
  <c r="C66" i="12"/>
  <c r="C68" i="12" s="1"/>
  <c r="C70" i="12" s="1"/>
  <c r="B66" i="12"/>
  <c r="B68" i="12" s="1"/>
  <c r="B70" i="12" s="1"/>
  <c r="N65" i="12"/>
  <c r="Q73" i="40" s="1"/>
  <c r="M65" i="12"/>
  <c r="L65" i="12"/>
  <c r="K65" i="12"/>
  <c r="J65" i="12"/>
  <c r="M73" i="40" s="1"/>
  <c r="I65" i="12"/>
  <c r="I67" i="12" s="1"/>
  <c r="H65" i="12"/>
  <c r="K73" i="40" s="1"/>
  <c r="F65" i="12"/>
  <c r="F67" i="12" s="1"/>
  <c r="E65" i="12"/>
  <c r="H73" i="40" s="1"/>
  <c r="D65" i="12"/>
  <c r="G73" i="40" s="1"/>
  <c r="C65" i="12"/>
  <c r="B65" i="12"/>
  <c r="F73" i="40" s="1"/>
  <c r="G65" i="12"/>
  <c r="J73" i="40" s="1"/>
  <c r="G81" i="12"/>
  <c r="G78" i="12"/>
  <c r="G80" i="12" s="1"/>
  <c r="G82" i="12" s="1"/>
  <c r="G77" i="12"/>
  <c r="F23" i="38" s="1"/>
  <c r="G69" i="12"/>
  <c r="G66" i="12"/>
  <c r="G68" i="12" s="1"/>
  <c r="N62" i="12"/>
  <c r="M62" i="12"/>
  <c r="L62" i="12"/>
  <c r="K62" i="12"/>
  <c r="J62" i="12"/>
  <c r="I62" i="12"/>
  <c r="H62" i="12"/>
  <c r="G62" i="12"/>
  <c r="F62" i="12"/>
  <c r="E62" i="12"/>
  <c r="D62" i="12"/>
  <c r="C62" i="12"/>
  <c r="B62" i="12"/>
  <c r="N59" i="12"/>
  <c r="N61" i="12" s="1"/>
  <c r="M59" i="12"/>
  <c r="M61" i="12" s="1"/>
  <c r="L59" i="12"/>
  <c r="K59" i="12"/>
  <c r="K61" i="12" s="1"/>
  <c r="K63" i="12" s="1"/>
  <c r="J59" i="12"/>
  <c r="J61" i="12" s="1"/>
  <c r="I59" i="12"/>
  <c r="I61" i="12" s="1"/>
  <c r="H59" i="12"/>
  <c r="H61" i="12" s="1"/>
  <c r="G59" i="12"/>
  <c r="F59" i="12"/>
  <c r="E59" i="12"/>
  <c r="D59" i="12"/>
  <c r="D61" i="12" s="1"/>
  <c r="C59" i="12"/>
  <c r="B59" i="12"/>
  <c r="B61" i="12" s="1"/>
  <c r="N58" i="12"/>
  <c r="Q72" i="40" s="1"/>
  <c r="M58" i="12"/>
  <c r="M60" i="12" s="1"/>
  <c r="L58" i="12"/>
  <c r="O72" i="40" s="1"/>
  <c r="K58" i="12"/>
  <c r="J58" i="12"/>
  <c r="I58" i="12"/>
  <c r="H58" i="12"/>
  <c r="K72" i="40" s="1"/>
  <c r="G58" i="12"/>
  <c r="F58" i="12"/>
  <c r="E58" i="12"/>
  <c r="D58" i="12"/>
  <c r="G72" i="40" s="1"/>
  <c r="C58" i="12"/>
  <c r="B58" i="12"/>
  <c r="F72" i="40" s="1"/>
  <c r="N55" i="12"/>
  <c r="M55" i="12"/>
  <c r="M53" i="12" s="1"/>
  <c r="L55" i="12"/>
  <c r="K55" i="12"/>
  <c r="J55" i="12"/>
  <c r="I55" i="12"/>
  <c r="H55" i="12"/>
  <c r="G55" i="12"/>
  <c r="F55" i="12"/>
  <c r="E55" i="12"/>
  <c r="D55" i="12"/>
  <c r="C55" i="12"/>
  <c r="B55" i="12"/>
  <c r="N52" i="12"/>
  <c r="M52" i="12"/>
  <c r="M75" i="12" s="1"/>
  <c r="L52" i="12"/>
  <c r="K52" i="12"/>
  <c r="J52" i="12"/>
  <c r="J54" i="12" s="1"/>
  <c r="I52" i="12"/>
  <c r="I54" i="12" s="1"/>
  <c r="H52" i="12"/>
  <c r="H54" i="12" s="1"/>
  <c r="G52" i="12"/>
  <c r="G54" i="12" s="1"/>
  <c r="F52" i="12"/>
  <c r="F54" i="12" s="1"/>
  <c r="E52" i="12"/>
  <c r="D52" i="12"/>
  <c r="D54" i="12" s="1"/>
  <c r="C52" i="12"/>
  <c r="B52" i="12"/>
  <c r="B54" i="12" s="1"/>
  <c r="N51" i="12"/>
  <c r="N53" i="12" s="1"/>
  <c r="M51" i="12"/>
  <c r="L51" i="12"/>
  <c r="K51" i="12"/>
  <c r="K74" i="12" s="1"/>
  <c r="K83" i="12" s="1"/>
  <c r="J51" i="12"/>
  <c r="M71" i="40" s="1"/>
  <c r="I51" i="12"/>
  <c r="H51" i="12"/>
  <c r="K71" i="40" s="1"/>
  <c r="G51" i="12"/>
  <c r="J71" i="40" s="1"/>
  <c r="F51" i="12"/>
  <c r="F53" i="12" s="1"/>
  <c r="E51" i="12"/>
  <c r="D51" i="12"/>
  <c r="C51" i="12"/>
  <c r="C53" i="12" s="1"/>
  <c r="B51" i="12"/>
  <c r="B74" i="12" s="1"/>
  <c r="B83" i="12" s="1"/>
  <c r="N43" i="12"/>
  <c r="M43" i="12"/>
  <c r="L43" i="12"/>
  <c r="K43" i="12"/>
  <c r="J43" i="12"/>
  <c r="I43" i="12"/>
  <c r="H43" i="12"/>
  <c r="G43" i="12"/>
  <c r="F43" i="12"/>
  <c r="E43" i="12"/>
  <c r="D43" i="12"/>
  <c r="C43" i="12"/>
  <c r="B43" i="12"/>
  <c r="N40" i="12"/>
  <c r="M40" i="12"/>
  <c r="M42" i="12" s="1"/>
  <c r="L40" i="12"/>
  <c r="L42" i="12" s="1"/>
  <c r="K40" i="12"/>
  <c r="J40" i="12"/>
  <c r="J42" i="12" s="1"/>
  <c r="I40" i="12"/>
  <c r="I42" i="12" s="1"/>
  <c r="I44" i="12" s="1"/>
  <c r="H40" i="12"/>
  <c r="H42" i="12" s="1"/>
  <c r="H44" i="12" s="1"/>
  <c r="G40" i="12"/>
  <c r="G42" i="12" s="1"/>
  <c r="F40" i="12"/>
  <c r="F42" i="12" s="1"/>
  <c r="E40" i="12"/>
  <c r="D40" i="12"/>
  <c r="D42" i="12" s="1"/>
  <c r="C40" i="12"/>
  <c r="B40" i="12"/>
  <c r="B42" i="12" s="1"/>
  <c r="N39" i="12"/>
  <c r="M22" i="38" s="1"/>
  <c r="M39" i="12"/>
  <c r="L39" i="12"/>
  <c r="K22" i="38" s="1"/>
  <c r="K39" i="12"/>
  <c r="J39" i="12"/>
  <c r="I39" i="12"/>
  <c r="H39" i="12"/>
  <c r="G22" i="38" s="1"/>
  <c r="G39" i="12"/>
  <c r="F39" i="12"/>
  <c r="E22" i="38" s="1"/>
  <c r="E39" i="12"/>
  <c r="D22" i="38" s="1"/>
  <c r="D39" i="12"/>
  <c r="C39" i="12"/>
  <c r="C89" i="12" s="1"/>
  <c r="C93" i="12" s="1"/>
  <c r="B39" i="12"/>
  <c r="N42" i="12"/>
  <c r="K42" i="12"/>
  <c r="E42" i="12"/>
  <c r="N31" i="12"/>
  <c r="N29" i="12" s="1"/>
  <c r="M31" i="12"/>
  <c r="L31" i="12"/>
  <c r="K31" i="12"/>
  <c r="J31" i="12"/>
  <c r="I31" i="12"/>
  <c r="I29" i="12" s="1"/>
  <c r="H31" i="12"/>
  <c r="H29" i="12" s="1"/>
  <c r="G31" i="12"/>
  <c r="F31" i="12"/>
  <c r="E31" i="12"/>
  <c r="D31" i="12"/>
  <c r="C31" i="12"/>
  <c r="B31" i="12"/>
  <c r="N28" i="12"/>
  <c r="N30" i="12" s="1"/>
  <c r="N32" i="12" s="1"/>
  <c r="M28" i="12"/>
  <c r="M37" i="12" s="1"/>
  <c r="L28" i="12"/>
  <c r="K28" i="12"/>
  <c r="K30" i="12" s="1"/>
  <c r="K32" i="12" s="1"/>
  <c r="J28" i="12"/>
  <c r="I28" i="12"/>
  <c r="H28" i="12"/>
  <c r="H30" i="12" s="1"/>
  <c r="H32" i="12" s="1"/>
  <c r="G28" i="12"/>
  <c r="G30" i="12" s="1"/>
  <c r="F28" i="12"/>
  <c r="F30" i="12" s="1"/>
  <c r="F32" i="12" s="1"/>
  <c r="E28" i="12"/>
  <c r="E30" i="12" s="1"/>
  <c r="E32" i="12" s="1"/>
  <c r="D28" i="12"/>
  <c r="C28" i="12"/>
  <c r="B28" i="12"/>
  <c r="N27" i="12"/>
  <c r="Q76" i="40" s="1"/>
  <c r="M27" i="12"/>
  <c r="L27" i="12"/>
  <c r="L29" i="12" s="1"/>
  <c r="K27" i="12"/>
  <c r="K29" i="12" s="1"/>
  <c r="J27" i="12"/>
  <c r="J29" i="12" s="1"/>
  <c r="I27" i="12"/>
  <c r="H27" i="12"/>
  <c r="G27" i="12"/>
  <c r="J76" i="40" s="1"/>
  <c r="F27" i="12"/>
  <c r="F29" i="12" s="1"/>
  <c r="E27" i="12"/>
  <c r="E29" i="12" s="1"/>
  <c r="D27" i="12"/>
  <c r="C27" i="12"/>
  <c r="C36" i="12" s="1"/>
  <c r="B27" i="12"/>
  <c r="B36" i="12" s="1"/>
  <c r="B45" i="12" s="1"/>
  <c r="M31" i="4"/>
  <c r="M29" i="4" s="1"/>
  <c r="N31" i="4"/>
  <c r="N29" i="4" s="1"/>
  <c r="L76" i="40"/>
  <c r="L31" i="4"/>
  <c r="K31" i="4"/>
  <c r="J31" i="4"/>
  <c r="I31" i="4"/>
  <c r="H31" i="4"/>
  <c r="F31" i="4"/>
  <c r="F29" i="4" s="1"/>
  <c r="E31" i="4"/>
  <c r="E29" i="4" s="1"/>
  <c r="D31" i="4"/>
  <c r="C31" i="4"/>
  <c r="B31" i="4"/>
  <c r="N28" i="4"/>
  <c r="N30" i="4" s="1"/>
  <c r="N32" i="4" s="1"/>
  <c r="M28" i="4"/>
  <c r="M30" i="4" s="1"/>
  <c r="M32" i="4" s="1"/>
  <c r="L28" i="4"/>
  <c r="L37" i="4" s="1"/>
  <c r="K28" i="4"/>
  <c r="J28" i="4"/>
  <c r="I28" i="4"/>
  <c r="H28" i="4"/>
  <c r="H30" i="4" s="1"/>
  <c r="H32" i="4" s="1"/>
  <c r="F28" i="4"/>
  <c r="E28" i="4"/>
  <c r="D28" i="4"/>
  <c r="C28" i="4"/>
  <c r="B28" i="4"/>
  <c r="G31" i="4"/>
  <c r="G29" i="4" s="1"/>
  <c r="G28" i="4"/>
  <c r="G30" i="4" s="1"/>
  <c r="G32" i="4" s="1"/>
  <c r="N24" i="12"/>
  <c r="M24" i="12"/>
  <c r="L24" i="12"/>
  <c r="K24" i="12"/>
  <c r="K22" i="12" s="1"/>
  <c r="J24" i="12"/>
  <c r="J22" i="12" s="1"/>
  <c r="I24" i="12"/>
  <c r="H24" i="12"/>
  <c r="G24" i="12"/>
  <c r="F24" i="12"/>
  <c r="E24" i="12"/>
  <c r="D24" i="12"/>
  <c r="C24" i="12"/>
  <c r="C22" i="12" s="1"/>
  <c r="B24" i="12"/>
  <c r="B22" i="12" s="1"/>
  <c r="N21" i="12"/>
  <c r="M21" i="12"/>
  <c r="L21" i="12"/>
  <c r="L23" i="12" s="1"/>
  <c r="K21" i="12"/>
  <c r="K23" i="12" s="1"/>
  <c r="K25" i="12" s="1"/>
  <c r="J21" i="12"/>
  <c r="J23" i="12" s="1"/>
  <c r="J25" i="12" s="1"/>
  <c r="I21" i="12"/>
  <c r="I23" i="12" s="1"/>
  <c r="I25" i="12" s="1"/>
  <c r="H21" i="12"/>
  <c r="H37" i="12" s="1"/>
  <c r="G21" i="12"/>
  <c r="G23" i="12" s="1"/>
  <c r="F21" i="12"/>
  <c r="E21" i="12"/>
  <c r="D21" i="12"/>
  <c r="C21" i="12"/>
  <c r="C23" i="12" s="1"/>
  <c r="C25" i="12" s="1"/>
  <c r="B21" i="12"/>
  <c r="N20" i="12"/>
  <c r="Q75" i="40" s="1"/>
  <c r="M20" i="12"/>
  <c r="P75" i="40" s="1"/>
  <c r="L20" i="12"/>
  <c r="K20" i="12"/>
  <c r="J20" i="12"/>
  <c r="I20" i="12"/>
  <c r="L75" i="40" s="1"/>
  <c r="H20" i="12"/>
  <c r="K75" i="40" s="1"/>
  <c r="G20" i="12"/>
  <c r="J75" i="40" s="1"/>
  <c r="F20" i="12"/>
  <c r="I75" i="40" s="1"/>
  <c r="E20" i="12"/>
  <c r="D20" i="12"/>
  <c r="C20" i="12"/>
  <c r="B20" i="12"/>
  <c r="N17" i="12"/>
  <c r="M17" i="12"/>
  <c r="M15" i="12" s="1"/>
  <c r="L17" i="12"/>
  <c r="L15" i="12" s="1"/>
  <c r="K17" i="12"/>
  <c r="K15" i="12" s="1"/>
  <c r="J17" i="12"/>
  <c r="I17" i="12"/>
  <c r="H17" i="12"/>
  <c r="G17" i="12"/>
  <c r="F17" i="12"/>
  <c r="E17" i="12"/>
  <c r="D17" i="12"/>
  <c r="C17" i="12"/>
  <c r="C15" i="12" s="1"/>
  <c r="B17" i="12"/>
  <c r="G16" i="12"/>
  <c r="N62" i="4"/>
  <c r="M62" i="4"/>
  <c r="L62" i="4"/>
  <c r="K62" i="4"/>
  <c r="J62" i="4"/>
  <c r="I62" i="4"/>
  <c r="H62" i="4"/>
  <c r="F62" i="4"/>
  <c r="E62" i="4"/>
  <c r="D62" i="4"/>
  <c r="C62" i="4"/>
  <c r="B62" i="4"/>
  <c r="F59" i="4"/>
  <c r="F68" i="4" s="1"/>
  <c r="E59" i="4"/>
  <c r="E68" i="4" s="1"/>
  <c r="D59" i="4"/>
  <c r="C59" i="4"/>
  <c r="B59" i="4"/>
  <c r="N59" i="4"/>
  <c r="M59" i="4"/>
  <c r="M68" i="4" s="1"/>
  <c r="L59" i="4"/>
  <c r="K59" i="4"/>
  <c r="J59" i="4"/>
  <c r="I59" i="4"/>
  <c r="H59" i="4"/>
  <c r="N58" i="4"/>
  <c r="M58" i="4"/>
  <c r="M67" i="4" s="1"/>
  <c r="M76" i="4" s="1"/>
  <c r="L58" i="4"/>
  <c r="K58" i="4"/>
  <c r="J58" i="4"/>
  <c r="I58" i="4"/>
  <c r="H58" i="4"/>
  <c r="F58" i="4"/>
  <c r="I55" i="40" s="1"/>
  <c r="E58" i="4"/>
  <c r="H55" i="40" s="1"/>
  <c r="D58" i="4"/>
  <c r="G55" i="40" s="1"/>
  <c r="C58" i="4"/>
  <c r="C67" i="4" s="1"/>
  <c r="C76" i="4" s="1"/>
  <c r="B58" i="4"/>
  <c r="N55" i="4"/>
  <c r="M55" i="4"/>
  <c r="L55" i="4"/>
  <c r="K55" i="4"/>
  <c r="J55" i="4"/>
  <c r="I55" i="4"/>
  <c r="H55" i="4"/>
  <c r="F55" i="4"/>
  <c r="E55" i="4"/>
  <c r="D55" i="4"/>
  <c r="C55" i="4"/>
  <c r="B55" i="4"/>
  <c r="E53" i="4"/>
  <c r="F53" i="4"/>
  <c r="N52" i="4"/>
  <c r="M52" i="4"/>
  <c r="L52" i="4"/>
  <c r="K52" i="4"/>
  <c r="J52" i="4"/>
  <c r="I52" i="4"/>
  <c r="H52" i="4"/>
  <c r="F52" i="4"/>
  <c r="E52" i="4"/>
  <c r="D52" i="4"/>
  <c r="C52" i="4"/>
  <c r="B52" i="4"/>
  <c r="N51" i="4"/>
  <c r="M51" i="4"/>
  <c r="L51" i="4"/>
  <c r="K51" i="4"/>
  <c r="J51" i="4"/>
  <c r="I51" i="4"/>
  <c r="H51" i="4"/>
  <c r="K53" i="4"/>
  <c r="L53" i="4"/>
  <c r="F51" i="4"/>
  <c r="E51" i="4"/>
  <c r="D51" i="4"/>
  <c r="C51" i="4"/>
  <c r="B51" i="4"/>
  <c r="I54" i="40"/>
  <c r="N43" i="4"/>
  <c r="M43" i="4"/>
  <c r="L43" i="4"/>
  <c r="K43" i="4"/>
  <c r="J43" i="4"/>
  <c r="I43" i="4"/>
  <c r="H43" i="4"/>
  <c r="F43" i="4"/>
  <c r="E43" i="4"/>
  <c r="D43" i="4"/>
  <c r="C43" i="4"/>
  <c r="B43" i="4"/>
  <c r="B41" i="4" s="1"/>
  <c r="E41" i="4"/>
  <c r="F41" i="4"/>
  <c r="N40" i="4"/>
  <c r="M40" i="4"/>
  <c r="L40" i="4"/>
  <c r="K40" i="4"/>
  <c r="J40" i="4"/>
  <c r="J42" i="4" s="1"/>
  <c r="I40" i="4"/>
  <c r="H40" i="4"/>
  <c r="K42" i="4"/>
  <c r="L42" i="4"/>
  <c r="G40" i="4"/>
  <c r="F40" i="4"/>
  <c r="E40" i="4"/>
  <c r="D40" i="4"/>
  <c r="C40" i="4"/>
  <c r="B40" i="4"/>
  <c r="F83" i="4"/>
  <c r="N39" i="4"/>
  <c r="N94" i="4" s="1"/>
  <c r="M39" i="4"/>
  <c r="L39" i="4"/>
  <c r="K39" i="4"/>
  <c r="J39" i="4"/>
  <c r="J41" i="4" s="1"/>
  <c r="I39" i="4"/>
  <c r="H39" i="4"/>
  <c r="K41" i="4"/>
  <c r="L41" i="4"/>
  <c r="L30" i="38"/>
  <c r="G39" i="4"/>
  <c r="F39" i="4"/>
  <c r="E39" i="4"/>
  <c r="D39" i="4"/>
  <c r="C39" i="4"/>
  <c r="B39" i="4"/>
  <c r="F94" i="4"/>
  <c r="F27" i="4"/>
  <c r="G74" i="4"/>
  <c r="G71" i="4"/>
  <c r="G70" i="4"/>
  <c r="G62" i="4"/>
  <c r="G59" i="4"/>
  <c r="G61" i="4" s="1"/>
  <c r="G58" i="4"/>
  <c r="J55" i="40" s="1"/>
  <c r="N27" i="4"/>
  <c r="Q53" i="40" s="1"/>
  <c r="M27" i="4"/>
  <c r="P53" i="40" s="1"/>
  <c r="L27" i="4"/>
  <c r="K27" i="4"/>
  <c r="J27" i="4"/>
  <c r="I27" i="4"/>
  <c r="H27" i="4"/>
  <c r="J36" i="4"/>
  <c r="K36" i="4"/>
  <c r="O53" i="40"/>
  <c r="E27" i="4"/>
  <c r="D27" i="4"/>
  <c r="C27" i="4"/>
  <c r="B27" i="4"/>
  <c r="G55" i="4"/>
  <c r="G52" i="4"/>
  <c r="G54" i="4" s="1"/>
  <c r="G56" i="4" s="1"/>
  <c r="G51" i="4"/>
  <c r="G67" i="4" s="1"/>
  <c r="G76" i="4" s="1"/>
  <c r="G43" i="4"/>
  <c r="G27" i="4"/>
  <c r="B31" i="2"/>
  <c r="B29" i="2" s="1"/>
  <c r="N24" i="4"/>
  <c r="M24" i="4"/>
  <c r="L24" i="4"/>
  <c r="K24" i="4"/>
  <c r="J24" i="4"/>
  <c r="I24" i="4"/>
  <c r="I22" i="4" s="1"/>
  <c r="H24" i="4"/>
  <c r="G24" i="4"/>
  <c r="F24" i="4"/>
  <c r="E24" i="4"/>
  <c r="D24" i="4"/>
  <c r="C24" i="4"/>
  <c r="B24" i="4"/>
  <c r="B22" i="4" s="1"/>
  <c r="N21" i="4"/>
  <c r="M21" i="4"/>
  <c r="L21" i="4"/>
  <c r="K21" i="4"/>
  <c r="J21" i="4"/>
  <c r="J23" i="4" s="1"/>
  <c r="J25" i="4" s="1"/>
  <c r="I21" i="4"/>
  <c r="I23" i="4" s="1"/>
  <c r="I25" i="4" s="1"/>
  <c r="H21" i="4"/>
  <c r="G21" i="4"/>
  <c r="F21" i="4"/>
  <c r="F23" i="4" s="1"/>
  <c r="E21" i="4"/>
  <c r="D21" i="4"/>
  <c r="C21" i="4"/>
  <c r="C23" i="4" s="1"/>
  <c r="C25" i="4" s="1"/>
  <c r="B21" i="4"/>
  <c r="B23" i="4" s="1"/>
  <c r="B25" i="4" s="1"/>
  <c r="N20" i="4"/>
  <c r="N22" i="4" s="1"/>
  <c r="M20" i="4"/>
  <c r="P52" i="40" s="1"/>
  <c r="L20" i="4"/>
  <c r="L22" i="4" s="1"/>
  <c r="K20" i="4"/>
  <c r="J20" i="4"/>
  <c r="I20" i="4"/>
  <c r="H20" i="4"/>
  <c r="G20" i="4"/>
  <c r="J52" i="40" s="1"/>
  <c r="F20" i="4"/>
  <c r="F22" i="4" s="1"/>
  <c r="E20" i="4"/>
  <c r="H52" i="40" s="1"/>
  <c r="D20" i="4"/>
  <c r="G52" i="40" s="1"/>
  <c r="C20" i="4"/>
  <c r="B20" i="4"/>
  <c r="N17" i="4"/>
  <c r="M17" i="4"/>
  <c r="L17" i="4"/>
  <c r="K17" i="4"/>
  <c r="J17" i="4"/>
  <c r="I17" i="4"/>
  <c r="H17" i="4"/>
  <c r="G17" i="4"/>
  <c r="F17" i="4"/>
  <c r="E17" i="4"/>
  <c r="D17" i="4"/>
  <c r="C17" i="4"/>
  <c r="B17" i="4"/>
  <c r="B15" i="4" s="1"/>
  <c r="N14" i="4"/>
  <c r="M14" i="4"/>
  <c r="L14" i="4"/>
  <c r="K14" i="4"/>
  <c r="K16" i="4" s="1"/>
  <c r="K18" i="4" s="1"/>
  <c r="J14" i="4"/>
  <c r="I14" i="4"/>
  <c r="H14" i="4"/>
  <c r="H16" i="4" s="1"/>
  <c r="H18" i="4" s="1"/>
  <c r="G14" i="4"/>
  <c r="F14" i="4"/>
  <c r="F16" i="4" s="1"/>
  <c r="E14" i="4"/>
  <c r="D14" i="4"/>
  <c r="C14" i="4"/>
  <c r="B14" i="4"/>
  <c r="N13" i="4"/>
  <c r="N18" i="4" s="1"/>
  <c r="M13" i="4"/>
  <c r="P51" i="40" s="1"/>
  <c r="L13" i="4"/>
  <c r="K13" i="4"/>
  <c r="J13" i="4"/>
  <c r="I13" i="4"/>
  <c r="H13" i="4"/>
  <c r="K51" i="40" s="1"/>
  <c r="G13" i="4"/>
  <c r="J51" i="40" s="1"/>
  <c r="F13" i="4"/>
  <c r="F15" i="4" s="1"/>
  <c r="E13" i="4"/>
  <c r="D13" i="4"/>
  <c r="D15" i="4" s="1"/>
  <c r="C13" i="4"/>
  <c r="B13" i="4"/>
  <c r="N80" i="2"/>
  <c r="M80" i="2"/>
  <c r="L80" i="2"/>
  <c r="L78" i="2" s="1"/>
  <c r="K80" i="2"/>
  <c r="J80" i="2"/>
  <c r="I80" i="2"/>
  <c r="H80" i="2"/>
  <c r="M78" i="2"/>
  <c r="F80" i="2"/>
  <c r="E80" i="2"/>
  <c r="D80" i="2"/>
  <c r="C80" i="2"/>
  <c r="B80" i="2"/>
  <c r="N77" i="2"/>
  <c r="N79" i="2" s="1"/>
  <c r="N81" i="2" s="1"/>
  <c r="M77" i="2"/>
  <c r="L77" i="2"/>
  <c r="L89" i="2" s="1"/>
  <c r="K77" i="2"/>
  <c r="K79" i="2" s="1"/>
  <c r="K81" i="2" s="1"/>
  <c r="J77" i="2"/>
  <c r="J79" i="2" s="1"/>
  <c r="J81" i="2" s="1"/>
  <c r="I77" i="2"/>
  <c r="H77" i="2"/>
  <c r="L79" i="2"/>
  <c r="L81" i="2" s="1"/>
  <c r="M79" i="2"/>
  <c r="M81" i="2" s="1"/>
  <c r="F77" i="2"/>
  <c r="E77" i="2"/>
  <c r="D77" i="2"/>
  <c r="C77" i="2"/>
  <c r="B77" i="2"/>
  <c r="N76" i="2"/>
  <c r="N88" i="2" s="1"/>
  <c r="N92" i="2" s="1"/>
  <c r="N12" i="36" s="1"/>
  <c r="M76" i="2"/>
  <c r="L76" i="2"/>
  <c r="K76" i="2"/>
  <c r="J76" i="2"/>
  <c r="I76" i="2"/>
  <c r="H76" i="2"/>
  <c r="K100" i="2"/>
  <c r="L88" i="2"/>
  <c r="F76" i="2"/>
  <c r="E76" i="2"/>
  <c r="E88" i="2" s="1"/>
  <c r="E92" i="2" s="1"/>
  <c r="D76" i="2"/>
  <c r="C76" i="2"/>
  <c r="C78" i="2" s="1"/>
  <c r="B76" i="2"/>
  <c r="N69" i="2"/>
  <c r="M69" i="2"/>
  <c r="L69" i="2"/>
  <c r="K69" i="2"/>
  <c r="J69" i="2"/>
  <c r="I69" i="2"/>
  <c r="H69" i="2"/>
  <c r="N67" i="2"/>
  <c r="N66" i="2"/>
  <c r="M66" i="2"/>
  <c r="L66" i="2"/>
  <c r="K66" i="2"/>
  <c r="J66" i="2"/>
  <c r="I66" i="2"/>
  <c r="H66" i="2"/>
  <c r="N68" i="2"/>
  <c r="N70" i="2" s="1"/>
  <c r="N65" i="2"/>
  <c r="M65" i="2"/>
  <c r="L65" i="2"/>
  <c r="K65" i="2"/>
  <c r="J65" i="2"/>
  <c r="J73" i="2" s="1"/>
  <c r="J82" i="2" s="1"/>
  <c r="I65" i="2"/>
  <c r="H65" i="2"/>
  <c r="N62" i="2"/>
  <c r="M62" i="2"/>
  <c r="L62" i="2"/>
  <c r="K62" i="2"/>
  <c r="J62" i="2"/>
  <c r="I62" i="2"/>
  <c r="H62" i="2"/>
  <c r="H60" i="2" s="1"/>
  <c r="N59" i="2"/>
  <c r="M59" i="2"/>
  <c r="L59" i="2"/>
  <c r="K59" i="2"/>
  <c r="J59" i="2"/>
  <c r="I59" i="2"/>
  <c r="H59" i="2"/>
  <c r="N58" i="2"/>
  <c r="M58" i="2"/>
  <c r="L58" i="2"/>
  <c r="K58" i="2"/>
  <c r="J58" i="2"/>
  <c r="I58" i="2"/>
  <c r="H58" i="2"/>
  <c r="N37" i="40"/>
  <c r="O37" i="40"/>
  <c r="M73" i="2"/>
  <c r="N55" i="2"/>
  <c r="M55" i="2"/>
  <c r="L55" i="2"/>
  <c r="K55" i="2"/>
  <c r="J55" i="2"/>
  <c r="I55" i="2"/>
  <c r="I53" i="2" s="1"/>
  <c r="H55" i="2"/>
  <c r="N52" i="2"/>
  <c r="M52" i="2"/>
  <c r="L52" i="2"/>
  <c r="K52" i="2"/>
  <c r="J52" i="2"/>
  <c r="I52" i="2"/>
  <c r="H52" i="2"/>
  <c r="K54" i="2"/>
  <c r="K56" i="2" s="1"/>
  <c r="L54" i="2"/>
  <c r="M54" i="2"/>
  <c r="N51" i="2"/>
  <c r="M51" i="2"/>
  <c r="L51" i="2"/>
  <c r="K51" i="2"/>
  <c r="J51" i="2"/>
  <c r="I51" i="2"/>
  <c r="H51" i="2"/>
  <c r="O36" i="40"/>
  <c r="F69" i="2"/>
  <c r="E69" i="2"/>
  <c r="D69" i="2"/>
  <c r="C69" i="2"/>
  <c r="B69" i="2"/>
  <c r="F66" i="2"/>
  <c r="F68" i="2" s="1"/>
  <c r="F70" i="2" s="1"/>
  <c r="E66" i="2"/>
  <c r="D66" i="2"/>
  <c r="C66" i="2"/>
  <c r="B66" i="2"/>
  <c r="D68" i="2"/>
  <c r="D70" i="2" s="1"/>
  <c r="F65" i="2"/>
  <c r="I38" i="40" s="1"/>
  <c r="E65" i="2"/>
  <c r="D65" i="2"/>
  <c r="C65" i="2"/>
  <c r="B65" i="2"/>
  <c r="B67" i="2" s="1"/>
  <c r="C67" i="2"/>
  <c r="G38" i="40"/>
  <c r="F62" i="2"/>
  <c r="E62" i="2"/>
  <c r="D62" i="2"/>
  <c r="C62" i="2"/>
  <c r="B62" i="2"/>
  <c r="F59" i="2"/>
  <c r="E59" i="2"/>
  <c r="D59" i="2"/>
  <c r="C59" i="2"/>
  <c r="B59" i="2"/>
  <c r="E74" i="2"/>
  <c r="F58" i="2"/>
  <c r="E58" i="2"/>
  <c r="D58" i="2"/>
  <c r="C58" i="2"/>
  <c r="B58" i="2"/>
  <c r="F55" i="2"/>
  <c r="E55" i="2"/>
  <c r="D55" i="2"/>
  <c r="C55" i="2"/>
  <c r="C53" i="2" s="1"/>
  <c r="B55" i="2"/>
  <c r="F52" i="2"/>
  <c r="E52" i="2"/>
  <c r="D52" i="2"/>
  <c r="C52" i="2"/>
  <c r="B52" i="2"/>
  <c r="F51" i="2"/>
  <c r="I36" i="40" s="1"/>
  <c r="E51" i="2"/>
  <c r="D51" i="2"/>
  <c r="C51" i="2"/>
  <c r="B51" i="2"/>
  <c r="G80" i="2"/>
  <c r="G77" i="2"/>
  <c r="G76" i="2"/>
  <c r="G69" i="2"/>
  <c r="G67" i="2" s="1"/>
  <c r="G66" i="2"/>
  <c r="G74" i="2" s="1"/>
  <c r="G65" i="2"/>
  <c r="G62" i="2"/>
  <c r="G59" i="2"/>
  <c r="G61" i="2" s="1"/>
  <c r="G58" i="2"/>
  <c r="G55" i="2"/>
  <c r="G52" i="2"/>
  <c r="G54" i="2" s="1"/>
  <c r="G51" i="2"/>
  <c r="J36" i="40" s="1"/>
  <c r="N43" i="2"/>
  <c r="M43" i="2"/>
  <c r="L43" i="2"/>
  <c r="K43" i="2"/>
  <c r="J43" i="2"/>
  <c r="I43" i="2"/>
  <c r="H43" i="2"/>
  <c r="K41" i="2"/>
  <c r="L41" i="2"/>
  <c r="M41" i="2"/>
  <c r="N41" i="2"/>
  <c r="N40" i="2"/>
  <c r="M40" i="2"/>
  <c r="M89" i="2" s="1"/>
  <c r="L40" i="2"/>
  <c r="K40" i="2"/>
  <c r="J40" i="2"/>
  <c r="I40" i="2"/>
  <c r="H40" i="2"/>
  <c r="J42" i="2"/>
  <c r="J44" i="2" s="1"/>
  <c r="K89" i="2"/>
  <c r="N42" i="2"/>
  <c r="N39" i="2"/>
  <c r="M39" i="2"/>
  <c r="L39" i="2"/>
  <c r="K39" i="2"/>
  <c r="J39" i="2"/>
  <c r="J88" i="2" s="1"/>
  <c r="I39" i="2"/>
  <c r="H39" i="2"/>
  <c r="L18" i="38"/>
  <c r="M18" i="38"/>
  <c r="F43" i="2"/>
  <c r="E43" i="2"/>
  <c r="D43" i="2"/>
  <c r="C43" i="2"/>
  <c r="B43" i="2"/>
  <c r="F41" i="2"/>
  <c r="F40" i="2"/>
  <c r="E40" i="2"/>
  <c r="D40" i="2"/>
  <c r="C40" i="2"/>
  <c r="C42" i="2" s="1"/>
  <c r="B40" i="2"/>
  <c r="E89" i="2"/>
  <c r="F42" i="2"/>
  <c r="F44" i="2" s="1"/>
  <c r="F39" i="2"/>
  <c r="E39" i="2"/>
  <c r="D39" i="2"/>
  <c r="C39" i="2"/>
  <c r="B39" i="2"/>
  <c r="G43" i="2"/>
  <c r="G40" i="2"/>
  <c r="G39" i="2"/>
  <c r="G13" i="2"/>
  <c r="N31" i="2"/>
  <c r="M31" i="2"/>
  <c r="L31" i="2"/>
  <c r="K31" i="2"/>
  <c r="J31" i="2"/>
  <c r="J29" i="2" s="1"/>
  <c r="I31" i="2"/>
  <c r="I29" i="2" s="1"/>
  <c r="H31" i="2"/>
  <c r="H29" i="2" s="1"/>
  <c r="G31" i="2"/>
  <c r="F31" i="2"/>
  <c r="E31" i="2"/>
  <c r="D31" i="2"/>
  <c r="C31" i="2"/>
  <c r="N28" i="2"/>
  <c r="M28" i="2"/>
  <c r="L28" i="2"/>
  <c r="K28" i="2"/>
  <c r="K37" i="2" s="1"/>
  <c r="J28" i="2"/>
  <c r="J37" i="2" s="1"/>
  <c r="I28" i="2"/>
  <c r="I30" i="2" s="1"/>
  <c r="I32" i="2" s="1"/>
  <c r="H28" i="2"/>
  <c r="H30" i="2" s="1"/>
  <c r="H32" i="2" s="1"/>
  <c r="G28" i="2"/>
  <c r="G30" i="2" s="1"/>
  <c r="F28" i="2"/>
  <c r="F30" i="2" s="1"/>
  <c r="E28" i="2"/>
  <c r="D28" i="2"/>
  <c r="C28" i="2"/>
  <c r="B28" i="2"/>
  <c r="N27" i="2"/>
  <c r="Q41" i="40" s="1"/>
  <c r="M27" i="2"/>
  <c r="P41" i="40" s="1"/>
  <c r="L27" i="2"/>
  <c r="O41" i="40" s="1"/>
  <c r="K27" i="2"/>
  <c r="J27" i="2"/>
  <c r="I27" i="2"/>
  <c r="H27" i="2"/>
  <c r="K41" i="40" s="1"/>
  <c r="G27" i="2"/>
  <c r="J41" i="40" s="1"/>
  <c r="F27" i="2"/>
  <c r="F29" i="2" s="1"/>
  <c r="E27" i="2"/>
  <c r="H41" i="40" s="1"/>
  <c r="D27" i="2"/>
  <c r="C27" i="2"/>
  <c r="B27" i="2"/>
  <c r="C30" i="2"/>
  <c r="C32" i="2" s="1"/>
  <c r="H36" i="2"/>
  <c r="H45" i="2" s="1"/>
  <c r="N24" i="2"/>
  <c r="M24" i="2"/>
  <c r="L24" i="2"/>
  <c r="K24" i="2"/>
  <c r="J24" i="2"/>
  <c r="I24" i="2"/>
  <c r="H24" i="2"/>
  <c r="H22" i="2" s="1"/>
  <c r="G24" i="2"/>
  <c r="F24" i="2"/>
  <c r="E24" i="2"/>
  <c r="D24" i="2"/>
  <c r="C24" i="2"/>
  <c r="B24" i="2"/>
  <c r="N21" i="2"/>
  <c r="M21" i="2"/>
  <c r="M23" i="2" s="1"/>
  <c r="M25" i="2" s="1"/>
  <c r="L21" i="2"/>
  <c r="K21" i="2"/>
  <c r="J21" i="2"/>
  <c r="J23" i="2" s="1"/>
  <c r="J25" i="2" s="1"/>
  <c r="I21" i="2"/>
  <c r="I23" i="2" s="1"/>
  <c r="I25" i="2" s="1"/>
  <c r="H21" i="2"/>
  <c r="G21" i="2"/>
  <c r="G23" i="2" s="1"/>
  <c r="F21" i="2"/>
  <c r="E21" i="2"/>
  <c r="E23" i="2" s="1"/>
  <c r="E25" i="2" s="1"/>
  <c r="D21" i="2"/>
  <c r="D37" i="2" s="1"/>
  <c r="C21" i="2"/>
  <c r="C23" i="2" s="1"/>
  <c r="C25" i="2" s="1"/>
  <c r="B21" i="2"/>
  <c r="P21" i="2" s="1"/>
  <c r="N20" i="2"/>
  <c r="N25" i="2" s="1"/>
  <c r="M20" i="2"/>
  <c r="P40" i="40" s="1"/>
  <c r="L20" i="2"/>
  <c r="O40" i="40" s="1"/>
  <c r="K20" i="2"/>
  <c r="J20" i="2"/>
  <c r="I20" i="2"/>
  <c r="L40" i="40" s="1"/>
  <c r="H20" i="2"/>
  <c r="G20" i="2"/>
  <c r="J40" i="40" s="1"/>
  <c r="F20" i="2"/>
  <c r="I40" i="40" s="1"/>
  <c r="E20" i="2"/>
  <c r="E22" i="2" s="1"/>
  <c r="D20" i="2"/>
  <c r="D22" i="2" s="1"/>
  <c r="C20" i="2"/>
  <c r="B20" i="2"/>
  <c r="N17" i="2"/>
  <c r="M17" i="2"/>
  <c r="L17" i="2"/>
  <c r="K17" i="2"/>
  <c r="J17" i="2"/>
  <c r="I17" i="2"/>
  <c r="I15" i="2" s="1"/>
  <c r="H17" i="2"/>
  <c r="H15" i="2" s="1"/>
  <c r="G17" i="2"/>
  <c r="F17" i="2"/>
  <c r="E17" i="2"/>
  <c r="D17" i="2"/>
  <c r="C17" i="2"/>
  <c r="B17" i="2"/>
  <c r="N14" i="2"/>
  <c r="M14" i="2"/>
  <c r="L14" i="2"/>
  <c r="K14" i="2"/>
  <c r="J14" i="2"/>
  <c r="I14" i="2"/>
  <c r="H14" i="2"/>
  <c r="G14" i="2"/>
  <c r="F14" i="2"/>
  <c r="E14" i="2"/>
  <c r="D14" i="2"/>
  <c r="C14" i="2"/>
  <c r="B14" i="2"/>
  <c r="N13" i="2"/>
  <c r="M13" i="2"/>
  <c r="P39" i="40" s="1"/>
  <c r="L13" i="2"/>
  <c r="L15" i="2" s="1"/>
  <c r="K13" i="2"/>
  <c r="K36" i="2" s="1"/>
  <c r="K45" i="2" s="1"/>
  <c r="J13" i="2"/>
  <c r="I13" i="2"/>
  <c r="H13" i="2"/>
  <c r="F13" i="2"/>
  <c r="I39" i="40" s="1"/>
  <c r="E13" i="2"/>
  <c r="H39" i="40" s="1"/>
  <c r="D13" i="2"/>
  <c r="G39" i="40" s="1"/>
  <c r="C13" i="2"/>
  <c r="B13" i="2"/>
  <c r="C51" i="10"/>
  <c r="D51" i="10"/>
  <c r="E51" i="10"/>
  <c r="F51" i="10"/>
  <c r="G51" i="10"/>
  <c r="H51" i="10"/>
  <c r="I51" i="10"/>
  <c r="J51" i="10"/>
  <c r="K51" i="10"/>
  <c r="L51" i="10"/>
  <c r="M51" i="10"/>
  <c r="N51" i="10"/>
  <c r="C52" i="10"/>
  <c r="D52" i="10"/>
  <c r="E52" i="10"/>
  <c r="H52" i="10"/>
  <c r="I52" i="10"/>
  <c r="J52" i="10"/>
  <c r="K52" i="10"/>
  <c r="L52" i="10"/>
  <c r="M52" i="10"/>
  <c r="N52" i="10"/>
  <c r="C53" i="10"/>
  <c r="D53" i="10"/>
  <c r="E53" i="10"/>
  <c r="F53" i="10"/>
  <c r="G53" i="10"/>
  <c r="H53" i="10"/>
  <c r="I53" i="10"/>
  <c r="J53" i="10"/>
  <c r="K53" i="10"/>
  <c r="L53" i="10"/>
  <c r="M53" i="10"/>
  <c r="N53" i="10"/>
  <c r="B39" i="14"/>
  <c r="B53" i="10"/>
  <c r="B38" i="14"/>
  <c r="B52" i="10"/>
  <c r="B37" i="14"/>
  <c r="B51" i="10"/>
  <c r="B54" i="10"/>
  <c r="B48" i="10"/>
  <c r="B49" i="10"/>
  <c r="N50" i="10"/>
  <c r="M50" i="10"/>
  <c r="L50" i="10"/>
  <c r="K50" i="10"/>
  <c r="J50" i="10"/>
  <c r="I50" i="10"/>
  <c r="H50" i="10"/>
  <c r="F50" i="10"/>
  <c r="E50" i="10"/>
  <c r="D50" i="10"/>
  <c r="C50" i="10"/>
  <c r="B50" i="10"/>
  <c r="E48" i="10"/>
  <c r="F48" i="10"/>
  <c r="N47" i="10"/>
  <c r="M47" i="10"/>
  <c r="L47" i="10"/>
  <c r="K47" i="10"/>
  <c r="J47" i="10"/>
  <c r="I47" i="10"/>
  <c r="H47" i="10"/>
  <c r="P47" i="10"/>
  <c r="O47" i="10"/>
  <c r="F47" i="10"/>
  <c r="E47" i="10"/>
  <c r="D47" i="10"/>
  <c r="C47" i="10"/>
  <c r="B47" i="10"/>
  <c r="N46" i="10"/>
  <c r="M46" i="10"/>
  <c r="L46" i="10"/>
  <c r="K46" i="10"/>
  <c r="J46" i="10"/>
  <c r="I46" i="10"/>
  <c r="H46" i="10"/>
  <c r="P46" i="10"/>
  <c r="F46" i="10"/>
  <c r="E46" i="10"/>
  <c r="D46" i="10"/>
  <c r="C29" i="38" s="1"/>
  <c r="C46" i="10"/>
  <c r="B46" i="10"/>
  <c r="G50" i="10"/>
  <c r="G47" i="10"/>
  <c r="G46" i="10"/>
  <c r="B39" i="10"/>
  <c r="B36" i="10"/>
  <c r="B37" i="10"/>
  <c r="B38" i="10"/>
  <c r="N38" i="10"/>
  <c r="M38" i="10"/>
  <c r="L38" i="10"/>
  <c r="L36" i="10" s="1"/>
  <c r="K38" i="10"/>
  <c r="J38" i="10"/>
  <c r="J36" i="10" s="1"/>
  <c r="I38" i="10"/>
  <c r="H38" i="10"/>
  <c r="G38" i="10"/>
  <c r="F38" i="10"/>
  <c r="E38" i="10"/>
  <c r="D38" i="10"/>
  <c r="C38" i="10"/>
  <c r="N35" i="10"/>
  <c r="M35" i="10"/>
  <c r="L35" i="10"/>
  <c r="K35" i="10"/>
  <c r="K37" i="10" s="1"/>
  <c r="K39" i="10" s="1"/>
  <c r="J35" i="10"/>
  <c r="J37" i="10" s="1"/>
  <c r="J39" i="10" s="1"/>
  <c r="I35" i="10"/>
  <c r="I37" i="10" s="1"/>
  <c r="I39" i="10" s="1"/>
  <c r="H35" i="10"/>
  <c r="H37" i="10" s="1"/>
  <c r="H39" i="10" s="1"/>
  <c r="G35" i="10"/>
  <c r="F35" i="10"/>
  <c r="F37" i="10" s="1"/>
  <c r="E35" i="10"/>
  <c r="D35" i="10"/>
  <c r="C35" i="10"/>
  <c r="B35" i="10"/>
  <c r="N34" i="10"/>
  <c r="Q50" i="40" s="1"/>
  <c r="M34" i="10"/>
  <c r="L34" i="10"/>
  <c r="K34" i="10"/>
  <c r="J34" i="10"/>
  <c r="I34" i="10"/>
  <c r="H34" i="10"/>
  <c r="G34" i="10"/>
  <c r="F34" i="10"/>
  <c r="I50" i="40" s="1"/>
  <c r="E34" i="10"/>
  <c r="H50" i="40" s="1"/>
  <c r="D34" i="10"/>
  <c r="C34" i="10"/>
  <c r="B34" i="10"/>
  <c r="N36" i="10"/>
  <c r="P50" i="40"/>
  <c r="B43" i="10"/>
  <c r="B32" i="10"/>
  <c r="B29" i="10"/>
  <c r="B30" i="10"/>
  <c r="N31" i="10"/>
  <c r="M31" i="10"/>
  <c r="L31" i="10"/>
  <c r="K31" i="10"/>
  <c r="K29" i="10" s="1"/>
  <c r="J31" i="10"/>
  <c r="J29" i="10" s="1"/>
  <c r="I31" i="10"/>
  <c r="I29" i="10" s="1"/>
  <c r="H31" i="10"/>
  <c r="H29" i="10" s="1"/>
  <c r="G31" i="10"/>
  <c r="G29" i="10" s="1"/>
  <c r="F31" i="10"/>
  <c r="E31" i="10"/>
  <c r="D31" i="10"/>
  <c r="C31" i="10"/>
  <c r="B31" i="10"/>
  <c r="N28" i="10"/>
  <c r="M28" i="10"/>
  <c r="L28" i="10"/>
  <c r="K28" i="10"/>
  <c r="J28" i="10"/>
  <c r="I28" i="10"/>
  <c r="H28" i="10"/>
  <c r="H30" i="10" s="1"/>
  <c r="H32" i="10" s="1"/>
  <c r="G28" i="10"/>
  <c r="G30" i="10" s="1"/>
  <c r="G32" i="10" s="1"/>
  <c r="F28" i="10"/>
  <c r="E28" i="10"/>
  <c r="D28" i="10"/>
  <c r="C28" i="10"/>
  <c r="B28" i="10"/>
  <c r="N27" i="10"/>
  <c r="Q49" i="40" s="1"/>
  <c r="M27" i="10"/>
  <c r="P49" i="40" s="1"/>
  <c r="L27" i="10"/>
  <c r="L29" i="10" s="1"/>
  <c r="K27" i="10"/>
  <c r="J27" i="10"/>
  <c r="I27" i="10"/>
  <c r="H27" i="10"/>
  <c r="G27" i="10"/>
  <c r="F27" i="10"/>
  <c r="I49" i="40" s="1"/>
  <c r="E27" i="10"/>
  <c r="H49" i="40" s="1"/>
  <c r="D27" i="10"/>
  <c r="C27" i="10"/>
  <c r="B27" i="10"/>
  <c r="B21" i="10"/>
  <c r="B22" i="10"/>
  <c r="B23" i="10"/>
  <c r="B25" i="10" s="1"/>
  <c r="N24" i="10"/>
  <c r="M24" i="10"/>
  <c r="L24" i="10"/>
  <c r="K24" i="10"/>
  <c r="K22" i="10" s="1"/>
  <c r="J24" i="10"/>
  <c r="J22" i="10" s="1"/>
  <c r="I24" i="10"/>
  <c r="H24" i="10"/>
  <c r="G24" i="10"/>
  <c r="F24" i="10"/>
  <c r="E24" i="10"/>
  <c r="D24" i="10"/>
  <c r="C24" i="10"/>
  <c r="B24" i="10"/>
  <c r="N21" i="10"/>
  <c r="M21" i="10"/>
  <c r="L21" i="10"/>
  <c r="K21" i="10"/>
  <c r="J21" i="10"/>
  <c r="J23" i="10" s="1"/>
  <c r="J25" i="10" s="1"/>
  <c r="I21" i="10"/>
  <c r="H21" i="10"/>
  <c r="H23" i="10" s="1"/>
  <c r="H25" i="10" s="1"/>
  <c r="G21" i="10"/>
  <c r="G23" i="10" s="1"/>
  <c r="F21" i="10"/>
  <c r="O21" i="10" s="1"/>
  <c r="E21" i="10"/>
  <c r="D21" i="10"/>
  <c r="C21" i="10"/>
  <c r="N20" i="10"/>
  <c r="M20" i="10"/>
  <c r="L20" i="10"/>
  <c r="O48" i="40" s="1"/>
  <c r="K20" i="10"/>
  <c r="J20" i="10"/>
  <c r="I20" i="10"/>
  <c r="H20" i="10"/>
  <c r="K48" i="40" s="1"/>
  <c r="G20" i="10"/>
  <c r="J48" i="40" s="1"/>
  <c r="F20" i="10"/>
  <c r="I48" i="40" s="1"/>
  <c r="E20" i="10"/>
  <c r="H48" i="40" s="1"/>
  <c r="D20" i="10"/>
  <c r="G48" i="40" s="1"/>
  <c r="C20" i="10"/>
  <c r="B20" i="10"/>
  <c r="L44" i="10"/>
  <c r="F48" i="40"/>
  <c r="B18" i="10"/>
  <c r="B15" i="10"/>
  <c r="B16" i="10"/>
  <c r="N17" i="10"/>
  <c r="M17" i="10"/>
  <c r="L17" i="10"/>
  <c r="K17" i="10"/>
  <c r="K15" i="10" s="1"/>
  <c r="J17" i="10"/>
  <c r="J15" i="10" s="1"/>
  <c r="I17" i="10"/>
  <c r="H17" i="10"/>
  <c r="G17" i="10"/>
  <c r="F17" i="10"/>
  <c r="E17" i="10"/>
  <c r="D17" i="10"/>
  <c r="C17" i="10"/>
  <c r="B17" i="10"/>
  <c r="N14" i="10"/>
  <c r="M14" i="10"/>
  <c r="L14" i="10"/>
  <c r="K14" i="10"/>
  <c r="J14" i="10"/>
  <c r="J16" i="10" s="1"/>
  <c r="J18" i="10" s="1"/>
  <c r="I14" i="10"/>
  <c r="H14" i="10"/>
  <c r="G14" i="10"/>
  <c r="F14" i="10"/>
  <c r="F16" i="10" s="1"/>
  <c r="E14" i="10"/>
  <c r="D14" i="10"/>
  <c r="C14" i="10"/>
  <c r="B14" i="10"/>
  <c r="N13" i="10"/>
  <c r="N15" i="10" s="1"/>
  <c r="M13" i="10"/>
  <c r="M15" i="10" s="1"/>
  <c r="L13" i="10"/>
  <c r="O47" i="40" s="1"/>
  <c r="K13" i="10"/>
  <c r="J13" i="10"/>
  <c r="I13" i="10"/>
  <c r="H13" i="10"/>
  <c r="G13" i="10"/>
  <c r="J47" i="40" s="1"/>
  <c r="F13" i="10"/>
  <c r="F15" i="10" s="1"/>
  <c r="E13" i="10"/>
  <c r="E15" i="10" s="1"/>
  <c r="D13" i="10"/>
  <c r="G47" i="40" s="1"/>
  <c r="C13" i="10"/>
  <c r="B13" i="10"/>
  <c r="F36" i="14"/>
  <c r="E36" i="14"/>
  <c r="D36" i="14"/>
  <c r="C36" i="14"/>
  <c r="B36" i="14"/>
  <c r="F34" i="14"/>
  <c r="F33" i="14"/>
  <c r="E33" i="14"/>
  <c r="D33" i="14"/>
  <c r="C33" i="14"/>
  <c r="B33" i="14"/>
  <c r="E45" i="14"/>
  <c r="F45" i="14"/>
  <c r="G32" i="14"/>
  <c r="F32" i="14"/>
  <c r="E32" i="14"/>
  <c r="D32" i="14"/>
  <c r="C32" i="14"/>
  <c r="B32" i="14"/>
  <c r="N36" i="14"/>
  <c r="M36" i="14"/>
  <c r="L36" i="14"/>
  <c r="K36" i="14"/>
  <c r="J36" i="14"/>
  <c r="I36" i="14"/>
  <c r="H36" i="14"/>
  <c r="M34" i="14"/>
  <c r="N33" i="14"/>
  <c r="M33" i="14"/>
  <c r="M35" i="14" s="1"/>
  <c r="L33" i="14"/>
  <c r="K33" i="14"/>
  <c r="J33" i="14"/>
  <c r="I33" i="14"/>
  <c r="H33" i="14"/>
  <c r="N35" i="14"/>
  <c r="N32" i="14"/>
  <c r="N44" i="14" s="1"/>
  <c r="M32" i="14"/>
  <c r="L32" i="14"/>
  <c r="K32" i="14"/>
  <c r="J32" i="14"/>
  <c r="I32" i="14"/>
  <c r="H32" i="14"/>
  <c r="J25" i="38"/>
  <c r="K25" i="38"/>
  <c r="G36" i="14"/>
  <c r="G33" i="14"/>
  <c r="D24" i="14"/>
  <c r="N24" i="14"/>
  <c r="M24" i="14"/>
  <c r="L24" i="14"/>
  <c r="K24" i="14"/>
  <c r="J24" i="14"/>
  <c r="I24" i="14"/>
  <c r="I22" i="14" s="1"/>
  <c r="H24" i="14"/>
  <c r="H22" i="14" s="1"/>
  <c r="G24" i="14"/>
  <c r="F24" i="14"/>
  <c r="E24" i="14"/>
  <c r="C24" i="14"/>
  <c r="B24" i="14"/>
  <c r="C20" i="14"/>
  <c r="C29" i="14" s="1"/>
  <c r="C38" i="14" s="1"/>
  <c r="N21" i="14"/>
  <c r="M21" i="14"/>
  <c r="L21" i="14"/>
  <c r="K21" i="14"/>
  <c r="K30" i="14" s="1"/>
  <c r="J21" i="14"/>
  <c r="I21" i="14"/>
  <c r="I23" i="14" s="1"/>
  <c r="I25" i="14" s="1"/>
  <c r="H21" i="14"/>
  <c r="H23" i="14" s="1"/>
  <c r="H25" i="14" s="1"/>
  <c r="G21" i="14"/>
  <c r="G23" i="14" s="1"/>
  <c r="F21" i="14"/>
  <c r="F23" i="14" s="1"/>
  <c r="E21" i="14"/>
  <c r="D21" i="14"/>
  <c r="C21" i="14"/>
  <c r="B21" i="14"/>
  <c r="N20" i="14"/>
  <c r="M20" i="14"/>
  <c r="M22" i="14" s="1"/>
  <c r="L20" i="14"/>
  <c r="L22" i="14" s="1"/>
  <c r="K20" i="14"/>
  <c r="J20" i="14"/>
  <c r="I20" i="14"/>
  <c r="H20" i="14"/>
  <c r="G20" i="14"/>
  <c r="J65" i="40" s="1"/>
  <c r="F20" i="14"/>
  <c r="I65" i="40" s="1"/>
  <c r="E20" i="14"/>
  <c r="E22" i="14" s="1"/>
  <c r="D20" i="14"/>
  <c r="G65" i="40" s="1"/>
  <c r="B20" i="14"/>
  <c r="N30" i="14"/>
  <c r="N65" i="40"/>
  <c r="I29" i="14"/>
  <c r="N17" i="14"/>
  <c r="M17" i="14"/>
  <c r="L17" i="14"/>
  <c r="K17" i="14"/>
  <c r="K15" i="14" s="1"/>
  <c r="J17" i="14"/>
  <c r="J15" i="14" s="1"/>
  <c r="I17" i="14"/>
  <c r="H17" i="14"/>
  <c r="G17" i="14"/>
  <c r="F17" i="14"/>
  <c r="E17" i="14"/>
  <c r="D17" i="14"/>
  <c r="C17" i="14"/>
  <c r="C15" i="14" s="1"/>
  <c r="B17" i="14"/>
  <c r="N14" i="14"/>
  <c r="M14" i="14"/>
  <c r="L14" i="14"/>
  <c r="K14" i="14"/>
  <c r="K16" i="14" s="1"/>
  <c r="K18" i="14" s="1"/>
  <c r="J14" i="14"/>
  <c r="J16" i="14" s="1"/>
  <c r="J18" i="14" s="1"/>
  <c r="I14" i="14"/>
  <c r="I16" i="14" s="1"/>
  <c r="I18" i="14" s="1"/>
  <c r="H14" i="14"/>
  <c r="H16" i="14" s="1"/>
  <c r="H18" i="14" s="1"/>
  <c r="G14" i="14"/>
  <c r="G16" i="14" s="1"/>
  <c r="F14" i="14"/>
  <c r="E14" i="14"/>
  <c r="D14" i="14"/>
  <c r="C14" i="14"/>
  <c r="C30" i="14" s="1"/>
  <c r="B14" i="14"/>
  <c r="N13" i="14"/>
  <c r="N15" i="14" s="1"/>
  <c r="M13" i="14"/>
  <c r="L13" i="14"/>
  <c r="L15" i="14" s="1"/>
  <c r="K13" i="14"/>
  <c r="J13" i="14"/>
  <c r="I13" i="14"/>
  <c r="H13" i="14"/>
  <c r="K64" i="40" s="1"/>
  <c r="G13" i="14"/>
  <c r="F13" i="14"/>
  <c r="I64" i="40" s="1"/>
  <c r="E13" i="14"/>
  <c r="E15" i="14" s="1"/>
  <c r="D13" i="14"/>
  <c r="C13" i="14"/>
  <c r="B13" i="14"/>
  <c r="B65" i="28"/>
  <c r="B57" i="28"/>
  <c r="B58" i="28"/>
  <c r="C58" i="28"/>
  <c r="B59" i="28"/>
  <c r="B55" i="28"/>
  <c r="B56" i="28"/>
  <c r="F57" i="28"/>
  <c r="E57" i="28"/>
  <c r="D57" i="28"/>
  <c r="C57" i="28"/>
  <c r="F54" i="28"/>
  <c r="E54" i="28"/>
  <c r="D54" i="28"/>
  <c r="C54" i="28"/>
  <c r="B54" i="28"/>
  <c r="F53" i="28"/>
  <c r="E53" i="28"/>
  <c r="D53" i="28"/>
  <c r="C53" i="28"/>
  <c r="B53" i="28"/>
  <c r="N57" i="28"/>
  <c r="M57" i="28"/>
  <c r="L57" i="28"/>
  <c r="K57" i="28"/>
  <c r="J57" i="28"/>
  <c r="I57" i="28"/>
  <c r="H57" i="28"/>
  <c r="N54" i="28"/>
  <c r="M54" i="28"/>
  <c r="L54" i="28"/>
  <c r="K54" i="28"/>
  <c r="J54" i="28"/>
  <c r="I54" i="28"/>
  <c r="H54" i="28"/>
  <c r="F45" i="28"/>
  <c r="F43" i="28" s="1"/>
  <c r="E45" i="28"/>
  <c r="D45" i="28"/>
  <c r="C45" i="28"/>
  <c r="B45" i="28"/>
  <c r="F42" i="28"/>
  <c r="F44" i="28" s="1"/>
  <c r="F46" i="28" s="1"/>
  <c r="E42" i="28"/>
  <c r="E44" i="28" s="1"/>
  <c r="D42" i="28"/>
  <c r="D44" i="28" s="1"/>
  <c r="C42" i="28"/>
  <c r="C44" i="28" s="1"/>
  <c r="B42" i="28"/>
  <c r="G41" i="28"/>
  <c r="J35" i="40" s="1"/>
  <c r="F41" i="28"/>
  <c r="E41" i="28"/>
  <c r="D41" i="28"/>
  <c r="C41" i="28"/>
  <c r="B41" i="28"/>
  <c r="F38" i="28"/>
  <c r="E38" i="28"/>
  <c r="D38" i="28"/>
  <c r="C38" i="28"/>
  <c r="B38" i="28"/>
  <c r="F35" i="28"/>
  <c r="E35" i="28"/>
  <c r="D35" i="28"/>
  <c r="D37" i="28" s="1"/>
  <c r="D39" i="28" s="1"/>
  <c r="C35" i="28"/>
  <c r="C37" i="28" s="1"/>
  <c r="B35" i="28"/>
  <c r="B37" i="28" s="1"/>
  <c r="F34" i="28"/>
  <c r="I34" i="40" s="1"/>
  <c r="E34" i="28"/>
  <c r="D34" i="28"/>
  <c r="C34" i="28"/>
  <c r="B34" i="28"/>
  <c r="F31" i="28"/>
  <c r="E31" i="28"/>
  <c r="D31" i="28"/>
  <c r="C31" i="28"/>
  <c r="B31" i="28"/>
  <c r="F28" i="28"/>
  <c r="E28" i="28"/>
  <c r="D28" i="28"/>
  <c r="D30" i="28" s="1"/>
  <c r="D32" i="28" s="1"/>
  <c r="C28" i="28"/>
  <c r="B28" i="28"/>
  <c r="G27" i="28"/>
  <c r="G29" i="28" s="1"/>
  <c r="F27" i="28"/>
  <c r="I33" i="40" s="1"/>
  <c r="E27" i="28"/>
  <c r="D27" i="28"/>
  <c r="C27" i="28"/>
  <c r="B27" i="28"/>
  <c r="F24" i="28"/>
  <c r="E24" i="28"/>
  <c r="D24" i="28"/>
  <c r="C24" i="28"/>
  <c r="B24" i="28"/>
  <c r="F21" i="28"/>
  <c r="F23" i="28" s="1"/>
  <c r="E21" i="28"/>
  <c r="E23" i="28" s="1"/>
  <c r="D21" i="28"/>
  <c r="D23" i="28" s="1"/>
  <c r="C21" i="28"/>
  <c r="B21" i="28"/>
  <c r="B23" i="28" s="1"/>
  <c r="F20" i="28"/>
  <c r="I32" i="40" s="1"/>
  <c r="E20" i="28"/>
  <c r="D20" i="28"/>
  <c r="C20" i="28"/>
  <c r="B20" i="28"/>
  <c r="F17" i="28"/>
  <c r="E17" i="28"/>
  <c r="E15" i="28" s="1"/>
  <c r="D17" i="28"/>
  <c r="C17" i="28"/>
  <c r="B17" i="28"/>
  <c r="F14" i="28"/>
  <c r="F16" i="28" s="1"/>
  <c r="E14" i="28"/>
  <c r="E16" i="28" s="1"/>
  <c r="E18" i="28" s="1"/>
  <c r="D14" i="28"/>
  <c r="D16" i="28" s="1"/>
  <c r="C14" i="28"/>
  <c r="C16" i="28" s="1"/>
  <c r="B14" i="28"/>
  <c r="B16" i="28" s="1"/>
  <c r="F13" i="28"/>
  <c r="E13" i="28"/>
  <c r="D13" i="28"/>
  <c r="C13" i="28"/>
  <c r="B13" i="28"/>
  <c r="B44" i="28"/>
  <c r="E37" i="28"/>
  <c r="F37" i="28"/>
  <c r="N53" i="28"/>
  <c r="M53" i="28"/>
  <c r="L53" i="28"/>
  <c r="K53" i="28"/>
  <c r="J53" i="28"/>
  <c r="I53" i="28"/>
  <c r="H53" i="28"/>
  <c r="N45" i="28"/>
  <c r="M45" i="28"/>
  <c r="L45" i="28"/>
  <c r="K45" i="28"/>
  <c r="J45" i="28"/>
  <c r="I45" i="28"/>
  <c r="N42" i="28"/>
  <c r="N44" i="28" s="1"/>
  <c r="N46" i="28" s="1"/>
  <c r="M42" i="28"/>
  <c r="L42" i="28"/>
  <c r="K42" i="28"/>
  <c r="J42" i="28"/>
  <c r="J44" i="28" s="1"/>
  <c r="J46" i="28" s="1"/>
  <c r="I42" i="28"/>
  <c r="I44" i="28" s="1"/>
  <c r="I46" i="28" s="1"/>
  <c r="N41" i="28"/>
  <c r="M41" i="28"/>
  <c r="L41" i="28"/>
  <c r="K41" i="28"/>
  <c r="J41" i="28"/>
  <c r="I41" i="28"/>
  <c r="N38" i="28"/>
  <c r="M38" i="28"/>
  <c r="L38" i="28"/>
  <c r="K38" i="28"/>
  <c r="J38" i="28"/>
  <c r="I38" i="28"/>
  <c r="N35" i="28"/>
  <c r="M35" i="28"/>
  <c r="L35" i="28"/>
  <c r="K35" i="28"/>
  <c r="J35" i="28"/>
  <c r="I35" i="28"/>
  <c r="N34" i="28"/>
  <c r="Q34" i="40" s="1"/>
  <c r="M34" i="28"/>
  <c r="L34" i="28"/>
  <c r="K34" i="28"/>
  <c r="J34" i="28"/>
  <c r="I34" i="28"/>
  <c r="H34" i="28"/>
  <c r="K34" i="40" s="1"/>
  <c r="N31" i="28"/>
  <c r="M31" i="28"/>
  <c r="L31" i="28"/>
  <c r="K31" i="28"/>
  <c r="J31" i="28"/>
  <c r="I31" i="28"/>
  <c r="N28" i="28"/>
  <c r="M28" i="28"/>
  <c r="L28" i="28"/>
  <c r="K28" i="28"/>
  <c r="J28" i="28"/>
  <c r="I28" i="28"/>
  <c r="N27" i="28"/>
  <c r="Q33" i="40" s="1"/>
  <c r="M27" i="28"/>
  <c r="L27" i="28"/>
  <c r="K27" i="28"/>
  <c r="J27" i="28"/>
  <c r="M33" i="40" s="1"/>
  <c r="I27" i="28"/>
  <c r="L33" i="40" s="1"/>
  <c r="N24" i="28"/>
  <c r="M24" i="28"/>
  <c r="L24" i="28"/>
  <c r="K24" i="28"/>
  <c r="J24" i="28"/>
  <c r="I24" i="28"/>
  <c r="N21" i="28"/>
  <c r="M21" i="28"/>
  <c r="L21" i="28"/>
  <c r="K21" i="28"/>
  <c r="J21" i="28"/>
  <c r="I21" i="28"/>
  <c r="N20" i="28"/>
  <c r="M20" i="28"/>
  <c r="L20" i="28"/>
  <c r="K20" i="28"/>
  <c r="J20" i="28"/>
  <c r="I20" i="28"/>
  <c r="N17" i="28"/>
  <c r="M17" i="28"/>
  <c r="L17" i="28"/>
  <c r="K17" i="28"/>
  <c r="J17" i="28"/>
  <c r="N14" i="28"/>
  <c r="M14" i="28"/>
  <c r="L14" i="28"/>
  <c r="K14" i="28"/>
  <c r="J14" i="28"/>
  <c r="N13" i="28"/>
  <c r="M13" i="28"/>
  <c r="P31" i="40" s="1"/>
  <c r="L13" i="28"/>
  <c r="O31" i="40" s="1"/>
  <c r="K13" i="28"/>
  <c r="J13" i="28"/>
  <c r="I17" i="28"/>
  <c r="I14" i="28"/>
  <c r="I13" i="28"/>
  <c r="H45" i="28"/>
  <c r="H42" i="28"/>
  <c r="H44" i="28" s="1"/>
  <c r="H41" i="28"/>
  <c r="H43" i="28" s="1"/>
  <c r="H38" i="28"/>
  <c r="H35" i="28"/>
  <c r="H31" i="28"/>
  <c r="H28" i="28"/>
  <c r="H27" i="28"/>
  <c r="K33" i="40" s="1"/>
  <c r="H24" i="28"/>
  <c r="H21" i="28"/>
  <c r="H23" i="28" s="1"/>
  <c r="H20" i="28"/>
  <c r="H17" i="28"/>
  <c r="H14" i="28"/>
  <c r="H13" i="28"/>
  <c r="G57" i="28"/>
  <c r="G54" i="28"/>
  <c r="G53" i="28"/>
  <c r="G45" i="28"/>
  <c r="G42" i="28"/>
  <c r="G38" i="28"/>
  <c r="G35" i="28"/>
  <c r="G37" i="28" s="1"/>
  <c r="G34" i="28"/>
  <c r="J34" i="40" s="1"/>
  <c r="G31" i="28"/>
  <c r="G28" i="28"/>
  <c r="G30" i="28" s="1"/>
  <c r="G32" i="28" s="1"/>
  <c r="G24" i="28"/>
  <c r="G21" i="28"/>
  <c r="G20" i="28"/>
  <c r="G17" i="28"/>
  <c r="G14" i="28"/>
  <c r="G16" i="28" s="1"/>
  <c r="G13" i="28"/>
  <c r="J31" i="40" s="1"/>
  <c r="G35" i="23"/>
  <c r="P20" i="23"/>
  <c r="P22" i="23" s="1"/>
  <c r="P24" i="23" s="1"/>
  <c r="J68" i="40"/>
  <c r="G52" i="22"/>
  <c r="P34" i="26"/>
  <c r="P13" i="26"/>
  <c r="P38" i="30"/>
  <c r="J46" i="40"/>
  <c r="F16" i="38"/>
  <c r="G51" i="7"/>
  <c r="G53" i="7" s="1"/>
  <c r="J39" i="40"/>
  <c r="B40" i="30"/>
  <c r="B63" i="30"/>
  <c r="M8" i="50"/>
  <c r="J39" i="50"/>
  <c r="J40" i="50"/>
  <c r="J41" i="50"/>
  <c r="K41" i="50"/>
  <c r="J42" i="50"/>
  <c r="K42" i="50"/>
  <c r="J43" i="50"/>
  <c r="K43" i="50" s="1"/>
  <c r="J38" i="50"/>
  <c r="K39" i="50" s="1"/>
  <c r="J16" i="50"/>
  <c r="J8" i="50"/>
  <c r="J9" i="50"/>
  <c r="K9" i="50" s="1"/>
  <c r="J11" i="50"/>
  <c r="K11" i="50" s="1"/>
  <c r="J12" i="50"/>
  <c r="K12" i="50"/>
  <c r="J13" i="50"/>
  <c r="K13" i="50"/>
  <c r="J26" i="50"/>
  <c r="J25" i="50"/>
  <c r="J24" i="50"/>
  <c r="J23" i="50"/>
  <c r="J22" i="50"/>
  <c r="J21" i="50"/>
  <c r="J20" i="50"/>
  <c r="J19" i="50"/>
  <c r="J18" i="50"/>
  <c r="J17" i="50"/>
  <c r="J15" i="50"/>
  <c r="K15" i="50" s="1"/>
  <c r="J14" i="50"/>
  <c r="K14" i="50"/>
  <c r="H10" i="50"/>
  <c r="J10" i="50" s="1"/>
  <c r="K10" i="50"/>
  <c r="C52" i="30"/>
  <c r="C30" i="24"/>
  <c r="C32" i="24" s="1"/>
  <c r="C23" i="24"/>
  <c r="C25" i="24" s="1"/>
  <c r="C22" i="24"/>
  <c r="C16" i="24"/>
  <c r="C15" i="43"/>
  <c r="B23" i="43"/>
  <c r="B25" i="43" s="1"/>
  <c r="B22" i="43"/>
  <c r="B16" i="43"/>
  <c r="B18" i="43" s="1"/>
  <c r="B15" i="43"/>
  <c r="B16" i="33"/>
  <c r="B18" i="33" s="1"/>
  <c r="B162" i="41"/>
  <c r="B167" i="41" s="1"/>
  <c r="B15" i="41"/>
  <c r="B16" i="7"/>
  <c r="B42" i="2"/>
  <c r="B44" i="2" s="1"/>
  <c r="B41" i="2"/>
  <c r="B36" i="2"/>
  <c r="B22" i="2"/>
  <c r="B15" i="2"/>
  <c r="B79" i="2"/>
  <c r="B74" i="2"/>
  <c r="B73" i="2"/>
  <c r="B82" i="2" s="1"/>
  <c r="B68" i="2"/>
  <c r="B70" i="2" s="1"/>
  <c r="B61" i="2"/>
  <c r="B63" i="2" s="1"/>
  <c r="B60" i="2"/>
  <c r="B54" i="2"/>
  <c r="B56" i="2" s="1"/>
  <c r="B53" i="2"/>
  <c r="B66" i="28"/>
  <c r="B69" i="28"/>
  <c r="B70" i="28" s="1"/>
  <c r="B50" i="28"/>
  <c r="D15" i="23"/>
  <c r="C15" i="23"/>
  <c r="B16" i="23"/>
  <c r="C46" i="23"/>
  <c r="C45" i="23"/>
  <c r="C50" i="23" s="1"/>
  <c r="C51" i="23" s="1"/>
  <c r="C36" i="23"/>
  <c r="C38" i="23" s="1"/>
  <c r="C35" i="23"/>
  <c r="C23" i="23"/>
  <c r="C25" i="23" s="1"/>
  <c r="B16" i="24"/>
  <c r="O8" i="24"/>
  <c r="P8" i="24" s="1"/>
  <c r="B41" i="22"/>
  <c r="C41" i="22"/>
  <c r="B42" i="22"/>
  <c r="B44" i="22" s="1"/>
  <c r="C42" i="22"/>
  <c r="C44" i="22" s="1"/>
  <c r="C52" i="22"/>
  <c r="C51" i="22"/>
  <c r="C55" i="22" s="1"/>
  <c r="C56" i="22" s="1"/>
  <c r="C30" i="22"/>
  <c r="C32" i="22" s="1"/>
  <c r="C29" i="22"/>
  <c r="C22" i="22"/>
  <c r="O8" i="22"/>
  <c r="C16" i="21"/>
  <c r="C18" i="21" s="1"/>
  <c r="B16" i="21"/>
  <c r="B18" i="21" s="1"/>
  <c r="B15" i="21"/>
  <c r="C61" i="21"/>
  <c r="C50" i="21"/>
  <c r="C43" i="21"/>
  <c r="C53" i="21" s="1"/>
  <c r="C37" i="21"/>
  <c r="C39" i="21"/>
  <c r="C29" i="21"/>
  <c r="C22" i="21"/>
  <c r="O8" i="21"/>
  <c r="C59" i="26"/>
  <c r="C58" i="26"/>
  <c r="C62" i="26" s="1"/>
  <c r="C63" i="26" s="1"/>
  <c r="C49" i="26"/>
  <c r="C51" i="26" s="1"/>
  <c r="C48" i="26"/>
  <c r="C43" i="26"/>
  <c r="C52" i="26" s="1"/>
  <c r="C37" i="26"/>
  <c r="C39" i="26" s="1"/>
  <c r="C36" i="26"/>
  <c r="C30" i="26"/>
  <c r="C32" i="26" s="1"/>
  <c r="C29" i="26"/>
  <c r="C23" i="26"/>
  <c r="C25" i="26" s="1"/>
  <c r="C15" i="26"/>
  <c r="O8" i="26"/>
  <c r="B15" i="30"/>
  <c r="C15" i="30"/>
  <c r="B16" i="30"/>
  <c r="B18" i="30" s="1"/>
  <c r="C16" i="30"/>
  <c r="C18" i="30"/>
  <c r="B22" i="30"/>
  <c r="C22" i="30"/>
  <c r="B23" i="30"/>
  <c r="C23" i="30"/>
  <c r="C25" i="30" s="1"/>
  <c r="O8" i="30"/>
  <c r="P8" i="30" s="1"/>
  <c r="C78" i="30"/>
  <c r="C75" i="30"/>
  <c r="C74" i="30"/>
  <c r="C58" i="30"/>
  <c r="C53" i="30"/>
  <c r="C55" i="30" s="1"/>
  <c r="C41" i="30"/>
  <c r="C43" i="30" s="1"/>
  <c r="C40" i="30"/>
  <c r="C36" i="30"/>
  <c r="C35" i="30"/>
  <c r="C44" i="30" s="1"/>
  <c r="C30" i="30"/>
  <c r="C32" i="30" s="1"/>
  <c r="C29" i="30"/>
  <c r="C45" i="42"/>
  <c r="C44" i="42"/>
  <c r="C35" i="42"/>
  <c r="C37" i="42" s="1"/>
  <c r="C34" i="42"/>
  <c r="C30" i="42"/>
  <c r="C29" i="42"/>
  <c r="C38" i="42" s="1"/>
  <c r="C23" i="42"/>
  <c r="C25" i="42" s="1"/>
  <c r="C22" i="42"/>
  <c r="O8" i="42"/>
  <c r="C45" i="33"/>
  <c r="C44" i="33"/>
  <c r="C48" i="33" s="1"/>
  <c r="C49" i="33" s="1"/>
  <c r="C35" i="33"/>
  <c r="C37" i="33" s="1"/>
  <c r="C34" i="33"/>
  <c r="C29" i="33"/>
  <c r="C38" i="33" s="1"/>
  <c r="C23" i="33"/>
  <c r="C25" i="33"/>
  <c r="C22" i="33"/>
  <c r="C16" i="33"/>
  <c r="C18" i="33" s="1"/>
  <c r="O8" i="33"/>
  <c r="B89" i="41"/>
  <c r="B91" i="41" s="1"/>
  <c r="B56" i="41"/>
  <c r="B58" i="41" s="1"/>
  <c r="C175" i="41"/>
  <c r="C152" i="41"/>
  <c r="C140" i="41"/>
  <c r="C133" i="41"/>
  <c r="C127" i="41"/>
  <c r="C129" i="41" s="1"/>
  <c r="C126" i="41"/>
  <c r="C120" i="41"/>
  <c r="C108" i="41"/>
  <c r="C110" i="41" s="1"/>
  <c r="C95" i="41"/>
  <c r="C89" i="41"/>
  <c r="C91" i="41" s="1"/>
  <c r="C88" i="41"/>
  <c r="C82" i="41"/>
  <c r="C75" i="41"/>
  <c r="C77" i="41" s="1"/>
  <c r="C68" i="41"/>
  <c r="C70" i="41" s="1"/>
  <c r="C67" i="41"/>
  <c r="C56" i="41"/>
  <c r="C22" i="41"/>
  <c r="C16" i="41"/>
  <c r="D16" i="41"/>
  <c r="E16" i="41"/>
  <c r="K16" i="41"/>
  <c r="L16" i="41"/>
  <c r="M16" i="41"/>
  <c r="I15" i="41"/>
  <c r="J15" i="41"/>
  <c r="O8" i="41"/>
  <c r="B16" i="4"/>
  <c r="B18" i="4" s="1"/>
  <c r="C73" i="7"/>
  <c r="C72" i="7"/>
  <c r="C63" i="7"/>
  <c r="C65" i="7" s="1"/>
  <c r="C51" i="7"/>
  <c r="C53" i="7" s="1"/>
  <c r="C50" i="7"/>
  <c r="C37" i="7"/>
  <c r="C39" i="7"/>
  <c r="C32" i="7"/>
  <c r="C29" i="7"/>
  <c r="C22" i="7"/>
  <c r="C16" i="7"/>
  <c r="O8" i="7"/>
  <c r="C38" i="6"/>
  <c r="C37" i="6"/>
  <c r="C41" i="6" s="1"/>
  <c r="C28" i="6"/>
  <c r="C30" i="6" s="1"/>
  <c r="C27" i="6"/>
  <c r="C22" i="6"/>
  <c r="C31" i="6" s="1"/>
  <c r="C16" i="6"/>
  <c r="C18" i="6" s="1"/>
  <c r="C15" i="6"/>
  <c r="O8" i="6"/>
  <c r="C108" i="11"/>
  <c r="B36" i="11"/>
  <c r="C96" i="11"/>
  <c r="C100" i="11"/>
  <c r="C87" i="11"/>
  <c r="C89" i="11" s="1"/>
  <c r="C82" i="11"/>
  <c r="C81" i="11"/>
  <c r="C90" i="11" s="1"/>
  <c r="C75" i="11"/>
  <c r="C77" i="11" s="1"/>
  <c r="C74" i="11"/>
  <c r="C68" i="11"/>
  <c r="C70" i="11" s="1"/>
  <c r="C67" i="11"/>
  <c r="C61" i="11"/>
  <c r="C63" i="11" s="1"/>
  <c r="C37" i="11"/>
  <c r="C39" i="11"/>
  <c r="C36" i="11"/>
  <c r="C30" i="11"/>
  <c r="C32" i="11" s="1"/>
  <c r="C15" i="11"/>
  <c r="O8" i="11"/>
  <c r="C58" i="8"/>
  <c r="C62" i="8" s="1"/>
  <c r="C48" i="8"/>
  <c r="C37" i="8"/>
  <c r="C39" i="8" s="1"/>
  <c r="C16" i="8"/>
  <c r="C18" i="8" s="1"/>
  <c r="C15" i="8"/>
  <c r="O8" i="8"/>
  <c r="C61" i="12"/>
  <c r="C63" i="12" s="1"/>
  <c r="C54" i="12"/>
  <c r="C42" i="12"/>
  <c r="C30" i="12"/>
  <c r="O8" i="12"/>
  <c r="P8" i="12" s="1"/>
  <c r="C94" i="4"/>
  <c r="D94" i="4"/>
  <c r="E94" i="4"/>
  <c r="G94" i="4"/>
  <c r="H94" i="4"/>
  <c r="I94" i="4"/>
  <c r="J94" i="4"/>
  <c r="K94" i="4"/>
  <c r="L94" i="4"/>
  <c r="M94" i="4"/>
  <c r="C83" i="4"/>
  <c r="C82" i="4"/>
  <c r="C86" i="4" s="1"/>
  <c r="C73" i="4"/>
  <c r="C75" i="4" s="1"/>
  <c r="C72" i="4"/>
  <c r="C68" i="4"/>
  <c r="C61" i="4"/>
  <c r="C54" i="4"/>
  <c r="C56" i="4" s="1"/>
  <c r="C53" i="4"/>
  <c r="C42" i="4"/>
  <c r="C44" i="4" s="1"/>
  <c r="C41" i="4"/>
  <c r="C36" i="4"/>
  <c r="C45" i="4" s="1"/>
  <c r="C30" i="4"/>
  <c r="C32" i="4" s="1"/>
  <c r="C29" i="4"/>
  <c r="C22" i="4"/>
  <c r="C15" i="4"/>
  <c r="O8" i="4"/>
  <c r="O8" i="2"/>
  <c r="C30" i="10"/>
  <c r="C32" i="10"/>
  <c r="C23" i="10"/>
  <c r="C25" i="10" s="1"/>
  <c r="C79" i="2"/>
  <c r="C81" i="2" s="1"/>
  <c r="C74" i="2"/>
  <c r="C68" i="2"/>
  <c r="C61" i="2"/>
  <c r="C63" i="2" s="1"/>
  <c r="C60" i="2"/>
  <c r="C54" i="2"/>
  <c r="C56" i="2"/>
  <c r="C41" i="2"/>
  <c r="C37" i="2"/>
  <c r="C36" i="2"/>
  <c r="C29" i="2"/>
  <c r="C22" i="2"/>
  <c r="C16" i="2"/>
  <c r="C18" i="2" s="1"/>
  <c r="C15" i="2"/>
  <c r="C51" i="24"/>
  <c r="C55" i="24" s="1"/>
  <c r="C42" i="24"/>
  <c r="C41" i="24"/>
  <c r="C44" i="43"/>
  <c r="C48" i="43" s="1"/>
  <c r="C45" i="43"/>
  <c r="O21" i="43"/>
  <c r="P23" i="43" s="1"/>
  <c r="P21" i="43"/>
  <c r="O8" i="43"/>
  <c r="C35" i="43"/>
  <c r="C34" i="43"/>
  <c r="C29" i="43"/>
  <c r="C38" i="43" s="1"/>
  <c r="C30" i="43"/>
  <c r="C23" i="43"/>
  <c r="C22" i="43"/>
  <c r="C16" i="43"/>
  <c r="C18" i="43"/>
  <c r="C37" i="10"/>
  <c r="C39" i="10"/>
  <c r="C29" i="10"/>
  <c r="C36" i="10"/>
  <c r="C58" i="10"/>
  <c r="C59" i="10"/>
  <c r="C49" i="10"/>
  <c r="C48" i="10"/>
  <c r="C43" i="10"/>
  <c r="C22" i="10"/>
  <c r="C15" i="10"/>
  <c r="O8" i="10"/>
  <c r="C44" i="14"/>
  <c r="C48" i="14" s="1"/>
  <c r="C45" i="14"/>
  <c r="C35" i="14"/>
  <c r="C37" i="14" s="1"/>
  <c r="C34" i="14"/>
  <c r="O8" i="14"/>
  <c r="O8" i="28"/>
  <c r="C23" i="14"/>
  <c r="C22" i="14"/>
  <c r="C16" i="14"/>
  <c r="C18" i="14" s="1"/>
  <c r="D16" i="14"/>
  <c r="E16" i="14"/>
  <c r="P53" i="28"/>
  <c r="J50" i="41"/>
  <c r="J59" i="41" s="1"/>
  <c r="K50" i="41"/>
  <c r="E51" i="41"/>
  <c r="E102" i="41"/>
  <c r="H102" i="41"/>
  <c r="H103" i="41"/>
  <c r="I103" i="41"/>
  <c r="H67" i="4"/>
  <c r="I67" i="4"/>
  <c r="I76" i="4" s="1"/>
  <c r="J67" i="4"/>
  <c r="K67" i="4"/>
  <c r="K76" i="4" s="1"/>
  <c r="L67" i="4"/>
  <c r="L76" i="4" s="1"/>
  <c r="D68" i="4"/>
  <c r="H68" i="4"/>
  <c r="I68" i="4"/>
  <c r="J68" i="4"/>
  <c r="K68" i="4"/>
  <c r="L68" i="4"/>
  <c r="I36" i="4"/>
  <c r="D37" i="4"/>
  <c r="E37" i="4"/>
  <c r="D30" i="14"/>
  <c r="E30" i="14"/>
  <c r="L30" i="14"/>
  <c r="M30" i="14"/>
  <c r="D51" i="28"/>
  <c r="E51" i="28"/>
  <c r="F51" i="28"/>
  <c r="K51" i="28"/>
  <c r="L51" i="28"/>
  <c r="M51" i="28"/>
  <c r="N51" i="28"/>
  <c r="D44" i="10"/>
  <c r="E44" i="10"/>
  <c r="J44" i="10"/>
  <c r="M44" i="10"/>
  <c r="N44" i="10"/>
  <c r="I43" i="10"/>
  <c r="K43" i="10"/>
  <c r="J29" i="14"/>
  <c r="J38" i="14" s="1"/>
  <c r="K29" i="14"/>
  <c r="K38" i="14" s="1"/>
  <c r="D50" i="28"/>
  <c r="D59" i="28" s="1"/>
  <c r="E50" i="28"/>
  <c r="E59" i="28" s="1"/>
  <c r="I50" i="28"/>
  <c r="I59" i="28" s="1"/>
  <c r="M50" i="28"/>
  <c r="M59" i="28" s="1"/>
  <c r="I36" i="2"/>
  <c r="I45" i="2" s="1"/>
  <c r="J36" i="2"/>
  <c r="J45" i="2" s="1"/>
  <c r="I29" i="48"/>
  <c r="H29" i="48"/>
  <c r="P32" i="43"/>
  <c r="Q32" i="43" s="1"/>
  <c r="P70" i="4"/>
  <c r="Q70" i="4" s="1"/>
  <c r="E100" i="2"/>
  <c r="F100" i="2"/>
  <c r="G100" i="2"/>
  <c r="H100" i="2"/>
  <c r="I100" i="2"/>
  <c r="J100" i="2"/>
  <c r="I35" i="22"/>
  <c r="I45" i="22" s="1"/>
  <c r="B6" i="32"/>
  <c r="B7" i="32" s="1"/>
  <c r="B8" i="32"/>
  <c r="B9" i="32" s="1"/>
  <c r="B10" i="32" s="1"/>
  <c r="B11" i="32"/>
  <c r="B12" i="32" s="1"/>
  <c r="B13" i="32" s="1"/>
  <c r="B14" i="32" s="1"/>
  <c r="B15" i="32" s="1"/>
  <c r="B16" i="32" s="1"/>
  <c r="B17" i="32" s="1"/>
  <c r="B18" i="32" s="1"/>
  <c r="B19" i="32"/>
  <c r="B20" i="32" s="1"/>
  <c r="B21" i="32"/>
  <c r="B22" i="32" s="1"/>
  <c r="B23" i="32" s="1"/>
  <c r="B24" i="32" s="1"/>
  <c r="B25" i="32" s="1"/>
  <c r="B26" i="32" s="1"/>
  <c r="B27" i="32" s="1"/>
  <c r="B28" i="32" s="1"/>
  <c r="B29" i="32" s="1"/>
  <c r="B30" i="32" s="1"/>
  <c r="B31" i="32" s="1"/>
  <c r="B32" i="32" s="1"/>
  <c r="B33" i="32" s="1"/>
  <c r="B34" i="32" s="1"/>
  <c r="B35" i="32" s="1"/>
  <c r="B36" i="32" s="1"/>
  <c r="B37" i="32"/>
  <c r="B38" i="32" s="1"/>
  <c r="B39" i="32" s="1"/>
  <c r="B40" i="32" s="1"/>
  <c r="B41" i="32" s="1"/>
  <c r="B42" i="32" s="1"/>
  <c r="B43" i="32" s="1"/>
  <c r="B44" i="32" s="1"/>
  <c r="B45" i="32"/>
  <c r="B46" i="32" s="1"/>
  <c r="B47" i="32" s="1"/>
  <c r="B48" i="32" s="1"/>
  <c r="B49" i="32" s="1"/>
  <c r="B50" i="32" s="1"/>
  <c r="B51" i="32" s="1"/>
  <c r="B52" i="32" s="1"/>
  <c r="B53" i="32" s="1"/>
  <c r="B54" i="32" s="1"/>
  <c r="B55" i="32" s="1"/>
  <c r="B56" i="32" s="1"/>
  <c r="B57" i="32" s="1"/>
  <c r="B58" i="32" s="1"/>
  <c r="B59" i="32" s="1"/>
  <c r="B60" i="32" s="1"/>
  <c r="B61" i="32" s="1"/>
  <c r="B62" i="32" s="1"/>
  <c r="B63" i="32" s="1"/>
  <c r="B64" i="32" s="1"/>
  <c r="B65" i="32" s="1"/>
  <c r="B66" i="32" s="1"/>
  <c r="B67" i="32" s="1"/>
  <c r="B68" i="32" s="1"/>
  <c r="B69" i="32" s="1"/>
  <c r="B70" i="32" s="1"/>
  <c r="B71" i="32" s="1"/>
  <c r="B72" i="32" s="1"/>
  <c r="B73" i="32" s="1"/>
  <c r="B74" i="32" s="1"/>
  <c r="B75" i="32" s="1"/>
  <c r="B76" i="32" s="1"/>
  <c r="B77" i="32" s="1"/>
  <c r="B78" i="32" s="1"/>
  <c r="B79" i="32" s="1"/>
  <c r="B80" i="32" s="1"/>
  <c r="B81" i="32" s="1"/>
  <c r="B82" i="32" s="1"/>
  <c r="B83" i="32" s="1"/>
  <c r="B84" i="32" s="1"/>
  <c r="B85" i="32" s="1"/>
  <c r="O92" i="32"/>
  <c r="B96" i="32"/>
  <c r="S96" i="32"/>
  <c r="B97" i="32"/>
  <c r="B98" i="32" s="1"/>
  <c r="S97" i="32"/>
  <c r="S98" i="32"/>
  <c r="B99" i="32"/>
  <c r="B100" i="32" s="1"/>
  <c r="B101" i="32" s="1"/>
  <c r="B102" i="32" s="1"/>
  <c r="B103" i="32" s="1"/>
  <c r="B104" i="32" s="1"/>
  <c r="B105" i="32" s="1"/>
  <c r="S99" i="32"/>
  <c r="S100" i="32"/>
  <c r="S101" i="32"/>
  <c r="S102" i="32"/>
  <c r="P103" i="32"/>
  <c r="Q103" i="32"/>
  <c r="R103" i="32"/>
  <c r="S103" i="32"/>
  <c r="B106" i="32"/>
  <c r="B107" i="32"/>
  <c r="B108" i="32" s="1"/>
  <c r="B109" i="32" s="1"/>
  <c r="B110" i="32" s="1"/>
  <c r="B111" i="32" s="1"/>
  <c r="B112" i="32" s="1"/>
  <c r="B113" i="32" s="1"/>
  <c r="B114" i="32" s="1"/>
  <c r="B115" i="32" s="1"/>
  <c r="B116" i="32" s="1"/>
  <c r="B117" i="32" s="1"/>
  <c r="B118" i="32" s="1"/>
  <c r="B119" i="32" s="1"/>
  <c r="E123" i="32" s="1"/>
  <c r="P117" i="32"/>
  <c r="Q117" i="32"/>
  <c r="R117" i="32"/>
  <c r="S117" i="32"/>
  <c r="T117" i="32"/>
  <c r="P120" i="32"/>
  <c r="F122" i="32"/>
  <c r="D125" i="32"/>
  <c r="Q133" i="32"/>
  <c r="R133" i="32"/>
  <c r="E138" i="32"/>
  <c r="F3" i="40"/>
  <c r="G3" i="40"/>
  <c r="L3" i="40"/>
  <c r="M3" i="40"/>
  <c r="N3" i="40"/>
  <c r="O3" i="40"/>
  <c r="B4" i="40"/>
  <c r="B5" i="40"/>
  <c r="B6" i="40" s="1"/>
  <c r="B7" i="40"/>
  <c r="B8" i="40" s="1"/>
  <c r="B9" i="40"/>
  <c r="B10" i="40" s="1"/>
  <c r="B11" i="40" s="1"/>
  <c r="B12" i="40" s="1"/>
  <c r="B13" i="40" s="1"/>
  <c r="B14" i="40" s="1"/>
  <c r="B15" i="40" s="1"/>
  <c r="B16" i="40" s="1"/>
  <c r="B17" i="40" s="1"/>
  <c r="B18" i="40" s="1"/>
  <c r="B19" i="40" s="1"/>
  <c r="B20" i="40" s="1"/>
  <c r="B21" i="40"/>
  <c r="B22" i="40" s="1"/>
  <c r="B23" i="40" s="1"/>
  <c r="B24" i="40" s="1"/>
  <c r="B25" i="40" s="1"/>
  <c r="B26" i="40" s="1"/>
  <c r="B27" i="40" s="1"/>
  <c r="B28" i="40" s="1"/>
  <c r="B29" i="40" s="1"/>
  <c r="B30" i="40" s="1"/>
  <c r="B31" i="40" s="1"/>
  <c r="B32" i="40" s="1"/>
  <c r="B33" i="40"/>
  <c r="B34" i="40"/>
  <c r="B35" i="40" s="1"/>
  <c r="B36" i="40" s="1"/>
  <c r="B37" i="40" s="1"/>
  <c r="B38" i="40" s="1"/>
  <c r="B39" i="40" s="1"/>
  <c r="B40" i="40" s="1"/>
  <c r="B41" i="40" s="1"/>
  <c r="B42" i="40" s="1"/>
  <c r="B43" i="40" s="1"/>
  <c r="B44" i="40" s="1"/>
  <c r="B45" i="40" s="1"/>
  <c r="B46" i="40" s="1"/>
  <c r="B47" i="40"/>
  <c r="B48" i="40" s="1"/>
  <c r="B49" i="40" s="1"/>
  <c r="B50" i="40" s="1"/>
  <c r="B51" i="40" s="1"/>
  <c r="B52" i="40" s="1"/>
  <c r="B53" i="40" s="1"/>
  <c r="B54" i="40" s="1"/>
  <c r="B55" i="40" s="1"/>
  <c r="B56" i="40" s="1"/>
  <c r="B57" i="40" s="1"/>
  <c r="B58" i="40" s="1"/>
  <c r="B59" i="40" s="1"/>
  <c r="B60" i="40" s="1"/>
  <c r="B61" i="40" s="1"/>
  <c r="B62" i="40" s="1"/>
  <c r="B63" i="40" s="1"/>
  <c r="B64" i="40" s="1"/>
  <c r="B65" i="40" s="1"/>
  <c r="B66" i="40" s="1"/>
  <c r="B67" i="40" s="1"/>
  <c r="B68" i="40" s="1"/>
  <c r="B69" i="40" s="1"/>
  <c r="B70" i="40" s="1"/>
  <c r="B71" i="40" s="1"/>
  <c r="B72" i="40" s="1"/>
  <c r="B73" i="40" s="1"/>
  <c r="B74" i="40" s="1"/>
  <c r="B75" i="40" s="1"/>
  <c r="B76" i="40" s="1"/>
  <c r="B77" i="40" s="1"/>
  <c r="B78" i="40" s="1"/>
  <c r="B79" i="40" s="1"/>
  <c r="B80" i="40" s="1"/>
  <c r="B81" i="40" s="1"/>
  <c r="B82" i="40" s="1"/>
  <c r="B83" i="40" s="1"/>
  <c r="B84" i="40" s="1"/>
  <c r="B85" i="40" s="1"/>
  <c r="B86" i="40" s="1"/>
  <c r="B87" i="40" s="1"/>
  <c r="F4" i="40"/>
  <c r="L4" i="40"/>
  <c r="M4" i="40"/>
  <c r="N4" i="40"/>
  <c r="F5" i="40"/>
  <c r="H5" i="40"/>
  <c r="I5" i="40"/>
  <c r="K5" i="40"/>
  <c r="L5" i="40"/>
  <c r="M5" i="40"/>
  <c r="N5" i="40"/>
  <c r="P5" i="40"/>
  <c r="Q5" i="40"/>
  <c r="F6" i="40"/>
  <c r="K6" i="40"/>
  <c r="L6" i="40"/>
  <c r="M6" i="40"/>
  <c r="N6" i="40"/>
  <c r="F7" i="40"/>
  <c r="K7" i="40"/>
  <c r="L7" i="40"/>
  <c r="M7" i="40"/>
  <c r="N7" i="40"/>
  <c r="H8" i="40"/>
  <c r="I8" i="40"/>
  <c r="K8" i="40"/>
  <c r="L8" i="40"/>
  <c r="M8" i="40"/>
  <c r="O8" i="40"/>
  <c r="P8" i="40"/>
  <c r="F9" i="40"/>
  <c r="G9" i="40"/>
  <c r="H9" i="40"/>
  <c r="I9" i="40"/>
  <c r="J9" i="40"/>
  <c r="K9" i="40"/>
  <c r="L9" i="40"/>
  <c r="M9" i="40"/>
  <c r="F10" i="40"/>
  <c r="I10" i="40"/>
  <c r="J10" i="40"/>
  <c r="K10" i="40"/>
  <c r="L10" i="40"/>
  <c r="M10" i="40"/>
  <c r="Q10" i="40"/>
  <c r="G11" i="40"/>
  <c r="H11" i="40"/>
  <c r="I11" i="40"/>
  <c r="K11" i="40"/>
  <c r="O11" i="40"/>
  <c r="P11" i="40"/>
  <c r="Q11" i="40"/>
  <c r="F12" i="40"/>
  <c r="G12" i="40"/>
  <c r="K12" i="40"/>
  <c r="L12" i="40"/>
  <c r="M12" i="40"/>
  <c r="N12" i="40"/>
  <c r="O12" i="40"/>
  <c r="F13" i="40"/>
  <c r="K13" i="40"/>
  <c r="L13" i="40"/>
  <c r="M13" i="40"/>
  <c r="N13" i="40"/>
  <c r="F14" i="40"/>
  <c r="G14" i="40"/>
  <c r="H14" i="40"/>
  <c r="I14" i="40"/>
  <c r="J14" i="40"/>
  <c r="K14" i="40"/>
  <c r="L14" i="40"/>
  <c r="M14" i="40"/>
  <c r="N14" i="40"/>
  <c r="O14" i="40"/>
  <c r="P14" i="40"/>
  <c r="Q14" i="40"/>
  <c r="F15" i="40"/>
  <c r="K15" i="40"/>
  <c r="L15" i="40"/>
  <c r="M15" i="40"/>
  <c r="N15" i="40"/>
  <c r="F16" i="40"/>
  <c r="G16" i="40"/>
  <c r="J16" i="40"/>
  <c r="K16" i="40"/>
  <c r="L16" i="40"/>
  <c r="M16" i="40"/>
  <c r="N16" i="40"/>
  <c r="O16" i="40"/>
  <c r="F17" i="40"/>
  <c r="K17" i="40"/>
  <c r="L17" i="40"/>
  <c r="M17" i="40"/>
  <c r="N17" i="40"/>
  <c r="F18" i="40"/>
  <c r="M18" i="40"/>
  <c r="N18" i="40"/>
  <c r="F19" i="40"/>
  <c r="M19" i="40"/>
  <c r="N19" i="40"/>
  <c r="F20" i="40"/>
  <c r="K20" i="40"/>
  <c r="L20" i="40"/>
  <c r="M20" i="40"/>
  <c r="K21" i="40"/>
  <c r="L21" i="40"/>
  <c r="M21" i="40"/>
  <c r="N21" i="40"/>
  <c r="F22" i="40"/>
  <c r="K22" i="40"/>
  <c r="L22" i="40"/>
  <c r="M22" i="40"/>
  <c r="N22" i="40"/>
  <c r="O22" i="40"/>
  <c r="F23" i="40"/>
  <c r="G23" i="40"/>
  <c r="H23" i="40"/>
  <c r="K23" i="40"/>
  <c r="L23" i="40"/>
  <c r="M23" i="40"/>
  <c r="F24" i="40"/>
  <c r="G24" i="40"/>
  <c r="J24" i="40"/>
  <c r="K24" i="40"/>
  <c r="L24" i="40"/>
  <c r="M24" i="40"/>
  <c r="N24" i="40"/>
  <c r="O24" i="40"/>
  <c r="F25" i="40"/>
  <c r="G25" i="40"/>
  <c r="I25" i="40"/>
  <c r="K25" i="40"/>
  <c r="L25" i="40"/>
  <c r="M25" i="40"/>
  <c r="F26" i="40"/>
  <c r="G26" i="40"/>
  <c r="K26" i="40"/>
  <c r="L26" i="40"/>
  <c r="M26" i="40"/>
  <c r="P26" i="40"/>
  <c r="Q26" i="40"/>
  <c r="F27" i="40"/>
  <c r="K27" i="40"/>
  <c r="L27" i="40"/>
  <c r="O27" i="40"/>
  <c r="P27" i="40"/>
  <c r="Q27" i="40"/>
  <c r="G28" i="40"/>
  <c r="I28" i="40"/>
  <c r="K28" i="40"/>
  <c r="L28" i="40"/>
  <c r="M28" i="40"/>
  <c r="F29" i="40"/>
  <c r="G29" i="40"/>
  <c r="H29" i="40"/>
  <c r="J29" i="40"/>
  <c r="K29" i="40"/>
  <c r="L29" i="40"/>
  <c r="O29" i="40"/>
  <c r="F30" i="40"/>
  <c r="G30" i="40"/>
  <c r="H30" i="40"/>
  <c r="K30" i="40"/>
  <c r="L30" i="40"/>
  <c r="N30" i="40"/>
  <c r="O30" i="40"/>
  <c r="P30" i="40"/>
  <c r="F31" i="40"/>
  <c r="G31" i="40"/>
  <c r="H31" i="40"/>
  <c r="K31" i="40"/>
  <c r="L31" i="40"/>
  <c r="M31" i="40"/>
  <c r="N31" i="40"/>
  <c r="Q31" i="40"/>
  <c r="F32" i="40"/>
  <c r="G32" i="40"/>
  <c r="H32" i="40"/>
  <c r="L32" i="40"/>
  <c r="N32" i="40"/>
  <c r="O32" i="40"/>
  <c r="P32" i="40"/>
  <c r="Q32" i="40"/>
  <c r="F33" i="40"/>
  <c r="G33" i="40"/>
  <c r="H33" i="40"/>
  <c r="N33" i="40"/>
  <c r="O33" i="40"/>
  <c r="P33" i="40"/>
  <c r="F34" i="40"/>
  <c r="G34" i="40"/>
  <c r="H34" i="40"/>
  <c r="L34" i="40"/>
  <c r="M34" i="40"/>
  <c r="N34" i="40"/>
  <c r="O34" i="40"/>
  <c r="P34" i="40"/>
  <c r="F35" i="40"/>
  <c r="G35" i="40"/>
  <c r="H35" i="40"/>
  <c r="I35" i="40"/>
  <c r="L35" i="40"/>
  <c r="M35" i="40"/>
  <c r="N35" i="40"/>
  <c r="O35" i="40"/>
  <c r="P35" i="40"/>
  <c r="Q35" i="40"/>
  <c r="F36" i="40"/>
  <c r="G36" i="40"/>
  <c r="H36" i="40"/>
  <c r="K36" i="40"/>
  <c r="L36" i="40"/>
  <c r="M36" i="40"/>
  <c r="N36" i="40"/>
  <c r="F37" i="40"/>
  <c r="G37" i="40"/>
  <c r="K37" i="40"/>
  <c r="L37" i="40"/>
  <c r="M37" i="40"/>
  <c r="H38" i="40"/>
  <c r="J38" i="40"/>
  <c r="L38" i="40"/>
  <c r="N38" i="40"/>
  <c r="O38" i="40"/>
  <c r="P38" i="40"/>
  <c r="Q38" i="40"/>
  <c r="F39" i="40"/>
  <c r="K39" i="40"/>
  <c r="L39" i="40"/>
  <c r="M39" i="40"/>
  <c r="N39" i="40"/>
  <c r="O39" i="40"/>
  <c r="Q39" i="40"/>
  <c r="F40" i="40"/>
  <c r="R40" i="40" s="1"/>
  <c r="K40" i="40"/>
  <c r="M40" i="40"/>
  <c r="N40" i="40"/>
  <c r="Q40" i="40"/>
  <c r="F41" i="40"/>
  <c r="L41" i="40"/>
  <c r="M41" i="40"/>
  <c r="N41" i="40"/>
  <c r="G42" i="40"/>
  <c r="I42" i="40"/>
  <c r="O42" i="40"/>
  <c r="Q42" i="40"/>
  <c r="F43" i="40"/>
  <c r="H43" i="40"/>
  <c r="I43" i="40"/>
  <c r="K43" i="40"/>
  <c r="L43" i="40"/>
  <c r="M43" i="40"/>
  <c r="N43" i="40"/>
  <c r="Q43" i="40"/>
  <c r="F44" i="40"/>
  <c r="G44" i="40"/>
  <c r="H44" i="40"/>
  <c r="I44" i="40"/>
  <c r="K44" i="40"/>
  <c r="L44" i="40"/>
  <c r="M44" i="40"/>
  <c r="N44" i="40"/>
  <c r="O44" i="40"/>
  <c r="P44" i="40"/>
  <c r="Q44" i="40"/>
  <c r="F45" i="40"/>
  <c r="H45" i="40"/>
  <c r="I45" i="40"/>
  <c r="K45" i="40"/>
  <c r="L45" i="40"/>
  <c r="M45" i="40"/>
  <c r="N45" i="40"/>
  <c r="P45" i="40"/>
  <c r="Q45" i="40"/>
  <c r="F46" i="40"/>
  <c r="H46" i="40"/>
  <c r="I46" i="40"/>
  <c r="K46" i="40"/>
  <c r="L46" i="40"/>
  <c r="M46" i="40"/>
  <c r="N46" i="40"/>
  <c r="O46" i="40"/>
  <c r="P46" i="40"/>
  <c r="Q46" i="40"/>
  <c r="F47" i="40"/>
  <c r="K47" i="40"/>
  <c r="L47" i="40"/>
  <c r="M47" i="40"/>
  <c r="N47" i="40"/>
  <c r="L48" i="40"/>
  <c r="M48" i="40"/>
  <c r="N48" i="40"/>
  <c r="F49" i="40"/>
  <c r="G49" i="40"/>
  <c r="K49" i="40"/>
  <c r="L49" i="40"/>
  <c r="M49" i="40"/>
  <c r="N49" i="40"/>
  <c r="O49" i="40"/>
  <c r="J50" i="40"/>
  <c r="K50" i="40"/>
  <c r="L50" i="40"/>
  <c r="N50" i="40"/>
  <c r="F51" i="40"/>
  <c r="L51" i="40"/>
  <c r="M51" i="40"/>
  <c r="N51" i="40"/>
  <c r="Q51" i="40"/>
  <c r="F52" i="40"/>
  <c r="K52" i="40"/>
  <c r="L52" i="40"/>
  <c r="M52" i="40"/>
  <c r="N52" i="40"/>
  <c r="F53" i="40"/>
  <c r="G53" i="40"/>
  <c r="I53" i="40"/>
  <c r="J53" i="40"/>
  <c r="K53" i="40"/>
  <c r="L53" i="40"/>
  <c r="F54" i="40"/>
  <c r="G54" i="40"/>
  <c r="H54" i="40"/>
  <c r="K54" i="40"/>
  <c r="L54" i="40"/>
  <c r="M54" i="40"/>
  <c r="N54" i="40"/>
  <c r="O54" i="40"/>
  <c r="P54" i="40"/>
  <c r="Q54" i="40"/>
  <c r="K55" i="40"/>
  <c r="L55" i="40"/>
  <c r="M55" i="40"/>
  <c r="N55" i="40"/>
  <c r="O55" i="40"/>
  <c r="P55" i="40"/>
  <c r="Q55" i="40"/>
  <c r="I56" i="40"/>
  <c r="K56" i="40"/>
  <c r="M56" i="40"/>
  <c r="N56" i="40"/>
  <c r="Q56" i="40"/>
  <c r="F57" i="40"/>
  <c r="H57" i="40"/>
  <c r="I57" i="40"/>
  <c r="L57" i="40"/>
  <c r="M57" i="40"/>
  <c r="N57" i="40"/>
  <c r="F58" i="40"/>
  <c r="L58" i="40"/>
  <c r="M58" i="40"/>
  <c r="N58" i="40"/>
  <c r="P58" i="40"/>
  <c r="G59" i="40"/>
  <c r="H59" i="40"/>
  <c r="I59" i="40"/>
  <c r="N59" i="40"/>
  <c r="O59" i="40"/>
  <c r="P59" i="40"/>
  <c r="Q59" i="40"/>
  <c r="F60" i="40"/>
  <c r="I60" i="40"/>
  <c r="J60" i="40"/>
  <c r="K60" i="40"/>
  <c r="L60" i="40"/>
  <c r="M60" i="40"/>
  <c r="N60" i="40"/>
  <c r="Q60" i="40"/>
  <c r="F61" i="40"/>
  <c r="H61" i="40"/>
  <c r="L61" i="40"/>
  <c r="M61" i="40"/>
  <c r="N61" i="40"/>
  <c r="P61" i="40"/>
  <c r="F62" i="40"/>
  <c r="M62" i="40"/>
  <c r="N62" i="40"/>
  <c r="F63" i="40"/>
  <c r="H63" i="40"/>
  <c r="I63" i="40"/>
  <c r="K63" i="40"/>
  <c r="L63" i="40"/>
  <c r="M63" i="40"/>
  <c r="N63" i="40"/>
  <c r="P63" i="40"/>
  <c r="Q63" i="40"/>
  <c r="F64" i="40"/>
  <c r="L64" i="40"/>
  <c r="M64" i="40"/>
  <c r="N64" i="40"/>
  <c r="F65" i="40"/>
  <c r="K65" i="40"/>
  <c r="L65" i="40"/>
  <c r="M65" i="40"/>
  <c r="P65" i="40"/>
  <c r="Q65" i="40"/>
  <c r="F66" i="40"/>
  <c r="H66" i="40"/>
  <c r="I66" i="40"/>
  <c r="K66" i="40"/>
  <c r="L66" i="40"/>
  <c r="M66" i="40"/>
  <c r="N66" i="40"/>
  <c r="P66" i="40"/>
  <c r="Q66" i="40"/>
  <c r="F67" i="40"/>
  <c r="H67" i="40"/>
  <c r="I67" i="40"/>
  <c r="L67" i="40"/>
  <c r="M67" i="40"/>
  <c r="N67" i="40"/>
  <c r="P67" i="40"/>
  <c r="Q67" i="40"/>
  <c r="F68" i="40"/>
  <c r="G68" i="40"/>
  <c r="H68" i="40"/>
  <c r="I68" i="40"/>
  <c r="L68" i="40"/>
  <c r="M68" i="40"/>
  <c r="P68" i="40"/>
  <c r="Q68" i="40"/>
  <c r="F69" i="40"/>
  <c r="H69" i="40"/>
  <c r="L69" i="40"/>
  <c r="M69" i="40"/>
  <c r="N69" i="40"/>
  <c r="P69" i="40"/>
  <c r="F70" i="40"/>
  <c r="K70" i="40"/>
  <c r="L70" i="40"/>
  <c r="M70" i="40"/>
  <c r="N70" i="40"/>
  <c r="L71" i="40"/>
  <c r="J72" i="40"/>
  <c r="N72" i="40"/>
  <c r="N73" i="40"/>
  <c r="O73" i="40"/>
  <c r="F74" i="40"/>
  <c r="G74" i="40"/>
  <c r="H74" i="40"/>
  <c r="N74" i="40"/>
  <c r="O74" i="40"/>
  <c r="P74" i="40"/>
  <c r="F75" i="40"/>
  <c r="H75" i="40"/>
  <c r="M75" i="40"/>
  <c r="N75" i="40"/>
  <c r="H76" i="40"/>
  <c r="I76" i="40"/>
  <c r="K76" i="40"/>
  <c r="F77" i="40"/>
  <c r="H77" i="40"/>
  <c r="M77" i="40"/>
  <c r="N77" i="40"/>
  <c r="P77" i="40"/>
  <c r="Q77" i="40"/>
  <c r="F78" i="40"/>
  <c r="H78" i="40"/>
  <c r="I78" i="40"/>
  <c r="K78" i="40"/>
  <c r="L78" i="40"/>
  <c r="M78" i="40"/>
  <c r="N78" i="40"/>
  <c r="P78" i="40"/>
  <c r="Q78" i="40"/>
  <c r="F79" i="40"/>
  <c r="I79" i="40"/>
  <c r="K79" i="40"/>
  <c r="L79" i="40"/>
  <c r="M79" i="40"/>
  <c r="N79" i="40"/>
  <c r="F80" i="40"/>
  <c r="H80" i="40"/>
  <c r="I80" i="40"/>
  <c r="K80" i="40"/>
  <c r="L80" i="40"/>
  <c r="M80" i="40"/>
  <c r="N80" i="40"/>
  <c r="Q80" i="40"/>
  <c r="F81" i="40"/>
  <c r="I81" i="40"/>
  <c r="F82" i="40"/>
  <c r="L82" i="40"/>
  <c r="M82" i="40"/>
  <c r="N82" i="40"/>
  <c r="F83" i="40"/>
  <c r="G83" i="40"/>
  <c r="H83" i="40"/>
  <c r="I83" i="40"/>
  <c r="K83" i="40"/>
  <c r="L83" i="40"/>
  <c r="M83" i="40"/>
  <c r="N83" i="40"/>
  <c r="P83" i="40"/>
  <c r="Q83" i="40"/>
  <c r="F84" i="40"/>
  <c r="L84" i="40"/>
  <c r="M84" i="40"/>
  <c r="N84" i="40"/>
  <c r="F85" i="40"/>
  <c r="H85" i="40"/>
  <c r="I85" i="40"/>
  <c r="K85" i="40"/>
  <c r="L85" i="40"/>
  <c r="M85" i="40"/>
  <c r="N85" i="40"/>
  <c r="P85" i="40"/>
  <c r="Q85" i="40"/>
  <c r="F86" i="40"/>
  <c r="H86" i="40"/>
  <c r="I86" i="40"/>
  <c r="K86" i="40"/>
  <c r="L86" i="40"/>
  <c r="M86" i="40"/>
  <c r="N86" i="40"/>
  <c r="P86" i="40"/>
  <c r="Q86" i="40"/>
  <c r="F87" i="40"/>
  <c r="G87" i="40"/>
  <c r="H87" i="40"/>
  <c r="I87" i="40"/>
  <c r="K87" i="40"/>
  <c r="L87" i="40"/>
  <c r="M87" i="40"/>
  <c r="N87" i="40"/>
  <c r="O87" i="40"/>
  <c r="P87" i="40"/>
  <c r="Q87" i="40"/>
  <c r="O8" i="23"/>
  <c r="P8" i="23" s="1"/>
  <c r="O14" i="23"/>
  <c r="F15" i="23"/>
  <c r="L15" i="23"/>
  <c r="N15" i="23"/>
  <c r="F16" i="23"/>
  <c r="F18" i="23"/>
  <c r="I16" i="23"/>
  <c r="I18" i="23" s="1"/>
  <c r="J16" i="23"/>
  <c r="L16" i="23"/>
  <c r="L18" i="23" s="1"/>
  <c r="N16" i="23"/>
  <c r="N18" i="23" s="1"/>
  <c r="O21" i="23"/>
  <c r="P23" i="23" s="1"/>
  <c r="J22" i="23"/>
  <c r="K22" i="23"/>
  <c r="B23" i="23"/>
  <c r="B25" i="23" s="1"/>
  <c r="D23" i="23"/>
  <c r="E23" i="23"/>
  <c r="E25" i="23" s="1"/>
  <c r="F23" i="23"/>
  <c r="J23" i="23"/>
  <c r="J25" i="23"/>
  <c r="K23" i="23"/>
  <c r="K25" i="23" s="1"/>
  <c r="L23" i="23"/>
  <c r="M23" i="23"/>
  <c r="N23" i="23"/>
  <c r="N25" i="23" s="1"/>
  <c r="F29" i="23"/>
  <c r="F39" i="23" s="1"/>
  <c r="M29" i="23"/>
  <c r="I30" i="23"/>
  <c r="J30" i="23"/>
  <c r="N30" i="23"/>
  <c r="B35" i="23"/>
  <c r="H35" i="23"/>
  <c r="I35" i="23"/>
  <c r="J35" i="23"/>
  <c r="L35" i="23"/>
  <c r="M35" i="23"/>
  <c r="N35" i="23"/>
  <c r="B36" i="23"/>
  <c r="B38" i="23"/>
  <c r="D36" i="23"/>
  <c r="D38" i="23" s="1"/>
  <c r="E36" i="23"/>
  <c r="E38" i="23" s="1"/>
  <c r="F36" i="23"/>
  <c r="H36" i="23"/>
  <c r="H38" i="23" s="1"/>
  <c r="I36" i="23"/>
  <c r="I38" i="23" s="1"/>
  <c r="J36" i="23"/>
  <c r="J38" i="23" s="1"/>
  <c r="B45" i="23"/>
  <c r="D45" i="23"/>
  <c r="D50" i="23" s="1"/>
  <c r="E45" i="23"/>
  <c r="F45" i="23"/>
  <c r="F50" i="23" s="1"/>
  <c r="G45" i="23"/>
  <c r="H45" i="23"/>
  <c r="H50" i="23" s="1"/>
  <c r="I45" i="23"/>
  <c r="I50" i="23" s="1"/>
  <c r="J45" i="23"/>
  <c r="J50" i="23" s="1"/>
  <c r="K45" i="23"/>
  <c r="K50" i="23" s="1"/>
  <c r="K51" i="23" s="1"/>
  <c r="L45" i="23"/>
  <c r="L50" i="23" s="1"/>
  <c r="L51" i="23" s="1"/>
  <c r="B46" i="23"/>
  <c r="D46" i="23"/>
  <c r="H46" i="23"/>
  <c r="I46" i="23"/>
  <c r="J46" i="23"/>
  <c r="K46" i="23"/>
  <c r="L46" i="23"/>
  <c r="M46" i="23"/>
  <c r="N46" i="23"/>
  <c r="F15" i="24"/>
  <c r="N15" i="24"/>
  <c r="D16" i="24"/>
  <c r="E16" i="24"/>
  <c r="H16" i="24"/>
  <c r="I16" i="24"/>
  <c r="L16" i="24"/>
  <c r="M16" i="24"/>
  <c r="B22" i="24"/>
  <c r="H22" i="24"/>
  <c r="B23" i="24"/>
  <c r="D23" i="24"/>
  <c r="E23" i="24"/>
  <c r="F23" i="24"/>
  <c r="K23" i="24"/>
  <c r="L23" i="24"/>
  <c r="M23" i="24"/>
  <c r="N23" i="24"/>
  <c r="N25" i="24" s="1"/>
  <c r="B29" i="24"/>
  <c r="K29" i="24"/>
  <c r="D30" i="24"/>
  <c r="E30" i="24"/>
  <c r="F30" i="24"/>
  <c r="K30" i="24"/>
  <c r="L30" i="24"/>
  <c r="M30" i="24"/>
  <c r="N30" i="24"/>
  <c r="B36" i="24"/>
  <c r="B45" i="24" s="1"/>
  <c r="I36" i="24"/>
  <c r="I45" i="24" s="1"/>
  <c r="J36" i="24"/>
  <c r="J45" i="24" s="1"/>
  <c r="D37" i="24"/>
  <c r="E37" i="24"/>
  <c r="J37" i="24"/>
  <c r="L37" i="24"/>
  <c r="M37" i="24"/>
  <c r="F41" i="24"/>
  <c r="I41" i="24"/>
  <c r="J41" i="24"/>
  <c r="K41" i="24"/>
  <c r="N41" i="24"/>
  <c r="B42" i="24"/>
  <c r="D42" i="24"/>
  <c r="E42" i="24"/>
  <c r="F42" i="24"/>
  <c r="J42" i="24"/>
  <c r="K42" i="24"/>
  <c r="L42" i="24"/>
  <c r="M42" i="24"/>
  <c r="N42" i="24"/>
  <c r="B51" i="24"/>
  <c r="F51" i="24"/>
  <c r="F55" i="24" s="1"/>
  <c r="H51" i="24"/>
  <c r="H55" i="24" s="1"/>
  <c r="H56" i="24" s="1"/>
  <c r="I51" i="24"/>
  <c r="I55" i="24" s="1"/>
  <c r="I56" i="24" s="1"/>
  <c r="J51" i="24"/>
  <c r="K51" i="24"/>
  <c r="N51" i="24"/>
  <c r="N55" i="24" s="1"/>
  <c r="N56" i="24" s="1"/>
  <c r="B52" i="24"/>
  <c r="D52" i="24"/>
  <c r="E52" i="24"/>
  <c r="F52" i="24"/>
  <c r="J52" i="24"/>
  <c r="K52" i="24"/>
  <c r="L52" i="24"/>
  <c r="M52" i="24"/>
  <c r="N52" i="24"/>
  <c r="P8" i="22"/>
  <c r="G15" i="22"/>
  <c r="D16" i="22"/>
  <c r="J16" i="22"/>
  <c r="L16" i="22"/>
  <c r="B22" i="22"/>
  <c r="J22" i="22"/>
  <c r="K22" i="22"/>
  <c r="N22" i="22"/>
  <c r="D23" i="22"/>
  <c r="E23" i="22"/>
  <c r="F23" i="22"/>
  <c r="L23" i="22"/>
  <c r="M23" i="22"/>
  <c r="N23" i="22"/>
  <c r="B29" i="22"/>
  <c r="E29" i="22"/>
  <c r="F29" i="22"/>
  <c r="J29" i="22"/>
  <c r="K29" i="22"/>
  <c r="B30" i="22"/>
  <c r="B32" i="22" s="1"/>
  <c r="D30" i="22"/>
  <c r="D32" i="22" s="1"/>
  <c r="E30" i="22"/>
  <c r="F30" i="22"/>
  <c r="F32" i="22" s="1"/>
  <c r="H30" i="22"/>
  <c r="H32" i="22" s="1"/>
  <c r="I30" i="22"/>
  <c r="I32" i="22" s="1"/>
  <c r="J30" i="22"/>
  <c r="J32" i="22" s="1"/>
  <c r="K30" i="22"/>
  <c r="K32" i="22"/>
  <c r="L30" i="22"/>
  <c r="M30" i="22"/>
  <c r="N30" i="22"/>
  <c r="N32" i="22" s="1"/>
  <c r="B35" i="22"/>
  <c r="B45" i="22" s="1"/>
  <c r="D36" i="22"/>
  <c r="L36" i="22"/>
  <c r="D41" i="22"/>
  <c r="E41" i="22"/>
  <c r="F41" i="22"/>
  <c r="H41" i="22"/>
  <c r="I41" i="22"/>
  <c r="J41" i="22"/>
  <c r="L41" i="22"/>
  <c r="M41" i="22"/>
  <c r="D42" i="22"/>
  <c r="D44" i="22" s="1"/>
  <c r="F42" i="22"/>
  <c r="G42" i="22"/>
  <c r="H42" i="22"/>
  <c r="H44" i="22" s="1"/>
  <c r="I42" i="22"/>
  <c r="I44" i="22" s="1"/>
  <c r="B51" i="22"/>
  <c r="B55" i="22" s="1"/>
  <c r="D51" i="22"/>
  <c r="D55" i="22" s="1"/>
  <c r="E51" i="22"/>
  <c r="E55" i="22" s="1"/>
  <c r="F51" i="22"/>
  <c r="F55" i="22" s="1"/>
  <c r="G51" i="22"/>
  <c r="G55" i="22" s="1"/>
  <c r="H51" i="22"/>
  <c r="H55" i="22" s="1"/>
  <c r="I51" i="22"/>
  <c r="I55" i="22" s="1"/>
  <c r="J51" i="22"/>
  <c r="J55" i="22" s="1"/>
  <c r="J56" i="22" s="1"/>
  <c r="K51" i="22"/>
  <c r="K55" i="22" s="1"/>
  <c r="L51" i="22"/>
  <c r="L55" i="22" s="1"/>
  <c r="L56" i="22" s="1"/>
  <c r="B52" i="22"/>
  <c r="D52" i="22"/>
  <c r="E52" i="22"/>
  <c r="F52" i="22"/>
  <c r="H52" i="22"/>
  <c r="I52" i="22"/>
  <c r="J52" i="22"/>
  <c r="K52" i="22"/>
  <c r="F15" i="21"/>
  <c r="J15" i="21"/>
  <c r="K15" i="21"/>
  <c r="D16" i="21"/>
  <c r="E16" i="21"/>
  <c r="E18" i="21" s="1"/>
  <c r="F16" i="21"/>
  <c r="F18" i="21" s="1"/>
  <c r="J16" i="21"/>
  <c r="J18" i="21" s="1"/>
  <c r="K16" i="21"/>
  <c r="K18" i="21" s="1"/>
  <c r="L16" i="21"/>
  <c r="L18" i="21"/>
  <c r="M16" i="21"/>
  <c r="N16" i="21"/>
  <c r="K22" i="21"/>
  <c r="D23" i="21"/>
  <c r="E23" i="21"/>
  <c r="E25" i="21"/>
  <c r="F23" i="21"/>
  <c r="F25" i="21" s="1"/>
  <c r="K23" i="21"/>
  <c r="K25" i="21" s="1"/>
  <c r="L23" i="21"/>
  <c r="M23" i="21"/>
  <c r="M25" i="21" s="1"/>
  <c r="N23" i="21"/>
  <c r="N25" i="21" s="1"/>
  <c r="F29" i="21"/>
  <c r="I29" i="21"/>
  <c r="J29" i="21"/>
  <c r="D30" i="21"/>
  <c r="E30" i="21"/>
  <c r="F30" i="21"/>
  <c r="H30" i="21"/>
  <c r="H32" i="21" s="1"/>
  <c r="M30" i="21"/>
  <c r="N30" i="21"/>
  <c r="B36" i="21"/>
  <c r="K36" i="21"/>
  <c r="B37" i="21"/>
  <c r="B39" i="21" s="1"/>
  <c r="D37" i="21"/>
  <c r="D39" i="21"/>
  <c r="E37" i="21"/>
  <c r="E39" i="21" s="1"/>
  <c r="F37" i="21"/>
  <c r="I37" i="21"/>
  <c r="I39" i="21"/>
  <c r="J37" i="21"/>
  <c r="J39" i="21" s="1"/>
  <c r="K37" i="21"/>
  <c r="K39" i="21"/>
  <c r="L37" i="21"/>
  <c r="M37" i="21"/>
  <c r="N37" i="21"/>
  <c r="N39" i="21" s="1"/>
  <c r="B43" i="21"/>
  <c r="B53" i="21" s="1"/>
  <c r="H43" i="21"/>
  <c r="J43" i="21"/>
  <c r="J53" i="21" s="1"/>
  <c r="K43" i="21"/>
  <c r="K53" i="21" s="1"/>
  <c r="D44" i="21"/>
  <c r="E44" i="21"/>
  <c r="F44" i="21"/>
  <c r="J44" i="21"/>
  <c r="M44" i="21"/>
  <c r="N44" i="21"/>
  <c r="D49" i="21"/>
  <c r="E49" i="21"/>
  <c r="G49" i="21"/>
  <c r="H49" i="21"/>
  <c r="I49" i="21"/>
  <c r="J49" i="21"/>
  <c r="B50" i="21"/>
  <c r="B52" i="21" s="1"/>
  <c r="D50" i="21"/>
  <c r="D52" i="21" s="1"/>
  <c r="E50" i="21"/>
  <c r="E52" i="21" s="1"/>
  <c r="G50" i="21"/>
  <c r="G52" i="21" s="1"/>
  <c r="H50" i="21"/>
  <c r="I50" i="21"/>
  <c r="I52" i="21" s="1"/>
  <c r="J50" i="21"/>
  <c r="J52" i="21" s="1"/>
  <c r="K50" i="21"/>
  <c r="K52" i="21" s="1"/>
  <c r="L50" i="21"/>
  <c r="L52" i="21" s="1"/>
  <c r="M50" i="21"/>
  <c r="N50" i="21"/>
  <c r="B60" i="21"/>
  <c r="D60" i="21"/>
  <c r="E60" i="21"/>
  <c r="E65" i="21" s="1"/>
  <c r="F60" i="21"/>
  <c r="G60" i="21"/>
  <c r="G65" i="21" s="1"/>
  <c r="G66" i="21" s="1"/>
  <c r="H60" i="21"/>
  <c r="H65" i="21" s="1"/>
  <c r="I60" i="21"/>
  <c r="I65" i="21"/>
  <c r="J60" i="21"/>
  <c r="J65" i="21" s="1"/>
  <c r="K60" i="21"/>
  <c r="K65" i="21" s="1"/>
  <c r="L60" i="21"/>
  <c r="M60" i="21"/>
  <c r="M65" i="21" s="1"/>
  <c r="B61" i="21"/>
  <c r="D61" i="21"/>
  <c r="E61" i="21"/>
  <c r="F61" i="21"/>
  <c r="G61" i="21"/>
  <c r="H61" i="21"/>
  <c r="I61" i="21"/>
  <c r="J61" i="21"/>
  <c r="K61" i="21"/>
  <c r="L61" i="21"/>
  <c r="M61" i="21"/>
  <c r="N61" i="21"/>
  <c r="P8" i="26"/>
  <c r="O14" i="26"/>
  <c r="O16" i="26" s="1"/>
  <c r="B15" i="26"/>
  <c r="F15" i="26"/>
  <c r="H15" i="26"/>
  <c r="I15" i="26"/>
  <c r="K15" i="26"/>
  <c r="B16" i="26"/>
  <c r="B18" i="26" s="1"/>
  <c r="D16" i="26"/>
  <c r="E16" i="26"/>
  <c r="E18" i="26" s="1"/>
  <c r="F16" i="26"/>
  <c r="I16" i="26"/>
  <c r="I18" i="26"/>
  <c r="J16" i="26"/>
  <c r="J18" i="26" s="1"/>
  <c r="L16" i="26"/>
  <c r="M16" i="26"/>
  <c r="N16" i="26"/>
  <c r="N18" i="26"/>
  <c r="P20" i="26"/>
  <c r="P22" i="26" s="1"/>
  <c r="P24" i="26" s="1"/>
  <c r="O21" i="26"/>
  <c r="O23" i="26" s="1"/>
  <c r="F22" i="26"/>
  <c r="J22" i="26"/>
  <c r="K22" i="26"/>
  <c r="N22" i="26"/>
  <c r="B23" i="26"/>
  <c r="B25" i="26" s="1"/>
  <c r="D23" i="26"/>
  <c r="E23" i="26"/>
  <c r="F23" i="26"/>
  <c r="F25" i="26" s="1"/>
  <c r="G23" i="26"/>
  <c r="I23" i="26"/>
  <c r="I25" i="26" s="1"/>
  <c r="J23" i="26"/>
  <c r="J25" i="26" s="1"/>
  <c r="K23" i="26"/>
  <c r="K25" i="26" s="1"/>
  <c r="L23" i="26"/>
  <c r="L25" i="26"/>
  <c r="M23" i="26"/>
  <c r="M25" i="26" s="1"/>
  <c r="N23" i="26"/>
  <c r="N25" i="26" s="1"/>
  <c r="P27" i="26"/>
  <c r="P29" i="26" s="1"/>
  <c r="P31" i="26" s="1"/>
  <c r="O28" i="26"/>
  <c r="O30" i="26" s="1"/>
  <c r="B29" i="26"/>
  <c r="H29" i="26"/>
  <c r="I29" i="26"/>
  <c r="J29" i="26"/>
  <c r="K29" i="26"/>
  <c r="B30" i="26"/>
  <c r="B32" i="26" s="1"/>
  <c r="D30" i="26"/>
  <c r="E30" i="26"/>
  <c r="E32" i="26"/>
  <c r="F30" i="26"/>
  <c r="F32" i="26" s="1"/>
  <c r="J30" i="26"/>
  <c r="J32" i="26"/>
  <c r="K30" i="26"/>
  <c r="K32" i="26" s="1"/>
  <c r="L30" i="26"/>
  <c r="M30" i="26"/>
  <c r="M32" i="26" s="1"/>
  <c r="N30" i="26"/>
  <c r="N32" i="26" s="1"/>
  <c r="B36" i="26"/>
  <c r="F36" i="26"/>
  <c r="H36" i="26"/>
  <c r="I36" i="26"/>
  <c r="M36" i="26"/>
  <c r="N36" i="26"/>
  <c r="B37" i="26"/>
  <c r="B39" i="26" s="1"/>
  <c r="D37" i="26"/>
  <c r="D39" i="26" s="1"/>
  <c r="E37" i="26"/>
  <c r="E39" i="26" s="1"/>
  <c r="F37" i="26"/>
  <c r="F39" i="26" s="1"/>
  <c r="I37" i="26"/>
  <c r="I39" i="26" s="1"/>
  <c r="K37" i="26"/>
  <c r="K39" i="26" s="1"/>
  <c r="L37" i="26"/>
  <c r="M37" i="26"/>
  <c r="N37" i="26"/>
  <c r="N39" i="26"/>
  <c r="B43" i="26"/>
  <c r="B52" i="26" s="1"/>
  <c r="I43" i="26"/>
  <c r="I52" i="26" s="1"/>
  <c r="J43" i="26"/>
  <c r="K43" i="26"/>
  <c r="K52" i="26" s="1"/>
  <c r="D44" i="26"/>
  <c r="E44" i="26"/>
  <c r="F44" i="26"/>
  <c r="L44" i="26"/>
  <c r="M44" i="26"/>
  <c r="N44" i="26"/>
  <c r="B48" i="26"/>
  <c r="D48" i="26"/>
  <c r="G48" i="26"/>
  <c r="H48" i="26"/>
  <c r="I48" i="26"/>
  <c r="K48" i="26"/>
  <c r="M48" i="26"/>
  <c r="N48" i="26"/>
  <c r="B49" i="26"/>
  <c r="B51" i="26" s="1"/>
  <c r="D49" i="26"/>
  <c r="D51" i="26" s="1"/>
  <c r="E49" i="26"/>
  <c r="E51" i="26" s="1"/>
  <c r="G49" i="26"/>
  <c r="G51" i="26" s="1"/>
  <c r="H49" i="26"/>
  <c r="H51" i="26" s="1"/>
  <c r="I49" i="26"/>
  <c r="I51" i="26" s="1"/>
  <c r="J49" i="26"/>
  <c r="K49" i="26"/>
  <c r="K51" i="26" s="1"/>
  <c r="L49" i="26"/>
  <c r="L51" i="26" s="1"/>
  <c r="B58" i="26"/>
  <c r="C20" i="36" s="1"/>
  <c r="D58" i="26"/>
  <c r="D20" i="36" s="1"/>
  <c r="G58" i="26"/>
  <c r="G62" i="26"/>
  <c r="G63" i="26" s="1"/>
  <c r="H58" i="26"/>
  <c r="H62" i="26" s="1"/>
  <c r="I58" i="26"/>
  <c r="I62" i="26" s="1"/>
  <c r="I63" i="26" s="1"/>
  <c r="J58" i="26"/>
  <c r="J20" i="36" s="1"/>
  <c r="K58" i="26"/>
  <c r="K20" i="36" s="1"/>
  <c r="M58" i="26"/>
  <c r="M62" i="26" s="1"/>
  <c r="B59" i="26"/>
  <c r="D59" i="26"/>
  <c r="E59" i="26"/>
  <c r="F59" i="26"/>
  <c r="G59" i="26"/>
  <c r="H59" i="26"/>
  <c r="I59" i="26"/>
  <c r="J59" i="26"/>
  <c r="K59" i="26"/>
  <c r="L59" i="26"/>
  <c r="M59" i="26"/>
  <c r="N59" i="26"/>
  <c r="K62" i="26"/>
  <c r="K63" i="26" s="1"/>
  <c r="E15" i="30"/>
  <c r="F15" i="30"/>
  <c r="H15" i="30"/>
  <c r="I15" i="30"/>
  <c r="J15" i="30"/>
  <c r="K15" i="30"/>
  <c r="M15" i="30"/>
  <c r="N15" i="30"/>
  <c r="D16" i="30"/>
  <c r="D18" i="30" s="1"/>
  <c r="E16" i="30"/>
  <c r="E18" i="30" s="1"/>
  <c r="F16" i="30"/>
  <c r="F18" i="30" s="1"/>
  <c r="H16" i="30"/>
  <c r="H18" i="30"/>
  <c r="I16" i="30"/>
  <c r="I18" i="30" s="1"/>
  <c r="J16" i="30"/>
  <c r="J18" i="30" s="1"/>
  <c r="K16" i="30"/>
  <c r="K18" i="30"/>
  <c r="L16" i="30"/>
  <c r="L18" i="30" s="1"/>
  <c r="M16" i="30"/>
  <c r="M18" i="30" s="1"/>
  <c r="N16" i="30"/>
  <c r="N18" i="30" s="1"/>
  <c r="E22" i="30"/>
  <c r="F22" i="30"/>
  <c r="H22" i="30"/>
  <c r="I22" i="30"/>
  <c r="J22" i="30"/>
  <c r="K22" i="30"/>
  <c r="M22" i="30"/>
  <c r="N22" i="30"/>
  <c r="B25" i="30"/>
  <c r="D23" i="30"/>
  <c r="E23" i="30"/>
  <c r="E25" i="30" s="1"/>
  <c r="F23" i="30"/>
  <c r="F25" i="30" s="1"/>
  <c r="H23" i="30"/>
  <c r="H25" i="30"/>
  <c r="I23" i="30"/>
  <c r="I25" i="30" s="1"/>
  <c r="J23" i="30"/>
  <c r="J25" i="30" s="1"/>
  <c r="K23" i="30"/>
  <c r="K25" i="30" s="1"/>
  <c r="L23" i="30"/>
  <c r="M23" i="30"/>
  <c r="M25" i="30"/>
  <c r="N23" i="30"/>
  <c r="N25" i="30" s="1"/>
  <c r="O28" i="30"/>
  <c r="P30" i="30" s="1"/>
  <c r="B29" i="30"/>
  <c r="D29" i="30"/>
  <c r="E29" i="30"/>
  <c r="F29" i="30"/>
  <c r="H29" i="30"/>
  <c r="I29" i="30"/>
  <c r="J29" i="30"/>
  <c r="K29" i="30"/>
  <c r="L29" i="30"/>
  <c r="M29" i="30"/>
  <c r="B30" i="30"/>
  <c r="B32" i="30" s="1"/>
  <c r="D30" i="30"/>
  <c r="D32" i="30" s="1"/>
  <c r="E30" i="30"/>
  <c r="E32" i="30"/>
  <c r="F30" i="30"/>
  <c r="F32" i="30" s="1"/>
  <c r="H30" i="30"/>
  <c r="H32" i="30" s="1"/>
  <c r="I30" i="30"/>
  <c r="I32" i="30" s="1"/>
  <c r="J30" i="30"/>
  <c r="J32" i="30"/>
  <c r="K30" i="30"/>
  <c r="K32" i="30" s="1"/>
  <c r="L30" i="30"/>
  <c r="L32" i="30" s="1"/>
  <c r="M30" i="30"/>
  <c r="M32" i="30" s="1"/>
  <c r="N30" i="30"/>
  <c r="N32" i="30" s="1"/>
  <c r="B35" i="30"/>
  <c r="E35" i="30"/>
  <c r="E44" i="30" s="1"/>
  <c r="F35" i="30"/>
  <c r="F44" i="30" s="1"/>
  <c r="H35" i="30"/>
  <c r="I35" i="30"/>
  <c r="I44" i="30" s="1"/>
  <c r="J35" i="30"/>
  <c r="K35" i="30"/>
  <c r="K44" i="30" s="1"/>
  <c r="M35" i="30"/>
  <c r="N35" i="30"/>
  <c r="B36" i="30"/>
  <c r="D36" i="30"/>
  <c r="E36" i="30"/>
  <c r="F36" i="30"/>
  <c r="H36" i="30"/>
  <c r="I36" i="30"/>
  <c r="J36" i="30"/>
  <c r="K36" i="30"/>
  <c r="L36" i="30"/>
  <c r="M36" i="30"/>
  <c r="N36" i="30"/>
  <c r="O39" i="30"/>
  <c r="P41" i="30" s="1"/>
  <c r="P39" i="30"/>
  <c r="D40" i="30"/>
  <c r="E40" i="30"/>
  <c r="F40" i="30"/>
  <c r="H40" i="30"/>
  <c r="I40" i="30"/>
  <c r="J40" i="30"/>
  <c r="K40" i="30"/>
  <c r="L40" i="30"/>
  <c r="M40" i="30"/>
  <c r="N40" i="30"/>
  <c r="B41" i="30"/>
  <c r="B43" i="30" s="1"/>
  <c r="D41" i="30"/>
  <c r="D43" i="30" s="1"/>
  <c r="E41" i="30"/>
  <c r="E43" i="30" s="1"/>
  <c r="F41" i="30"/>
  <c r="F43" i="30" s="1"/>
  <c r="G41" i="30"/>
  <c r="H41" i="30"/>
  <c r="H43" i="30" s="1"/>
  <c r="I41" i="30"/>
  <c r="I43" i="30" s="1"/>
  <c r="J41" i="30"/>
  <c r="J43" i="30" s="1"/>
  <c r="K41" i="30"/>
  <c r="K43" i="30" s="1"/>
  <c r="L41" i="30"/>
  <c r="L43" i="30" s="1"/>
  <c r="M41" i="30"/>
  <c r="N41" i="30"/>
  <c r="N43" i="30" s="1"/>
  <c r="N44" i="30"/>
  <c r="K58" i="30"/>
  <c r="J53" i="30"/>
  <c r="J55" i="30" s="1"/>
  <c r="K53" i="30"/>
  <c r="K55" i="30" s="1"/>
  <c r="B53" i="30"/>
  <c r="B55" i="30" s="1"/>
  <c r="D53" i="30"/>
  <c r="D55" i="30" s="1"/>
  <c r="E53" i="30"/>
  <c r="E55" i="30" s="1"/>
  <c r="F53" i="30"/>
  <c r="F55" i="30" s="1"/>
  <c r="H53" i="30"/>
  <c r="H55" i="30"/>
  <c r="B52" i="30"/>
  <c r="E52" i="30"/>
  <c r="H63" i="30"/>
  <c r="K63" i="30"/>
  <c r="L52" i="30"/>
  <c r="B58" i="30"/>
  <c r="D58" i="30"/>
  <c r="E58" i="30"/>
  <c r="F58" i="30"/>
  <c r="H58" i="30"/>
  <c r="J58" i="30"/>
  <c r="L58" i="30"/>
  <c r="L67" i="30" s="1"/>
  <c r="B59" i="30"/>
  <c r="D59" i="30"/>
  <c r="E59" i="30"/>
  <c r="F59" i="30"/>
  <c r="H59" i="30"/>
  <c r="J59" i="30"/>
  <c r="N59" i="30"/>
  <c r="B64" i="30"/>
  <c r="B66" i="30" s="1"/>
  <c r="D64" i="30"/>
  <c r="D66" i="30" s="1"/>
  <c r="E64" i="30"/>
  <c r="F64" i="30"/>
  <c r="H64" i="30"/>
  <c r="H66" i="30" s="1"/>
  <c r="I64" i="30"/>
  <c r="I66" i="30" s="1"/>
  <c r="J63" i="30"/>
  <c r="B74" i="30"/>
  <c r="D74" i="30"/>
  <c r="E74" i="30"/>
  <c r="F74" i="30"/>
  <c r="H74" i="30"/>
  <c r="H79" i="30" s="1"/>
  <c r="I74" i="30"/>
  <c r="J74" i="30"/>
  <c r="K74" i="30"/>
  <c r="L74" i="30"/>
  <c r="N74" i="30"/>
  <c r="B75" i="30"/>
  <c r="D75" i="30"/>
  <c r="E75" i="30"/>
  <c r="F75" i="30"/>
  <c r="G75" i="30"/>
  <c r="H75" i="30"/>
  <c r="I75" i="30"/>
  <c r="J75" i="30"/>
  <c r="K75" i="30"/>
  <c r="L75" i="30"/>
  <c r="M75" i="30"/>
  <c r="N75" i="30"/>
  <c r="B78" i="30"/>
  <c r="C22" i="36" s="1"/>
  <c r="D78" i="30"/>
  <c r="E78" i="30"/>
  <c r="E22" i="36" s="1"/>
  <c r="F78" i="30"/>
  <c r="H78" i="30"/>
  <c r="I78" i="30"/>
  <c r="J78" i="30"/>
  <c r="J22" i="36" s="1"/>
  <c r="K78" i="30"/>
  <c r="K79" i="30" s="1"/>
  <c r="L78" i="30"/>
  <c r="M78" i="30"/>
  <c r="M22" i="36" s="1"/>
  <c r="N78" i="30"/>
  <c r="N22" i="36" s="1"/>
  <c r="P8" i="33"/>
  <c r="O14" i="33"/>
  <c r="O16" i="33" s="1"/>
  <c r="E15" i="33"/>
  <c r="F15" i="33"/>
  <c r="J15" i="33"/>
  <c r="K15" i="33"/>
  <c r="M15" i="33"/>
  <c r="N15" i="33"/>
  <c r="D16" i="33"/>
  <c r="E16" i="33"/>
  <c r="E18" i="33" s="1"/>
  <c r="F16" i="33"/>
  <c r="F18" i="33" s="1"/>
  <c r="H16" i="33"/>
  <c r="H18" i="33" s="1"/>
  <c r="I16" i="33"/>
  <c r="I18" i="33" s="1"/>
  <c r="J16" i="33"/>
  <c r="J18" i="33" s="1"/>
  <c r="K16" i="33"/>
  <c r="K18" i="33" s="1"/>
  <c r="L16" i="33"/>
  <c r="L18" i="33" s="1"/>
  <c r="M16" i="33"/>
  <c r="M18" i="33" s="1"/>
  <c r="N16" i="33"/>
  <c r="N18" i="33" s="1"/>
  <c r="P20" i="33"/>
  <c r="F22" i="33"/>
  <c r="H22" i="33"/>
  <c r="K22" i="33"/>
  <c r="N22" i="33"/>
  <c r="D23" i="33"/>
  <c r="E23" i="33"/>
  <c r="E25" i="33" s="1"/>
  <c r="F23" i="33"/>
  <c r="F25" i="33" s="1"/>
  <c r="I23" i="33"/>
  <c r="I25" i="33"/>
  <c r="J23" i="33"/>
  <c r="J25" i="33" s="1"/>
  <c r="L23" i="33"/>
  <c r="M23" i="33"/>
  <c r="N23" i="33"/>
  <c r="N25" i="33"/>
  <c r="M25" i="33"/>
  <c r="B29" i="33"/>
  <c r="B38" i="33" s="1"/>
  <c r="H29" i="33"/>
  <c r="H38" i="33" s="1"/>
  <c r="I29" i="33"/>
  <c r="J29" i="33"/>
  <c r="J38" i="33"/>
  <c r="K29" i="33"/>
  <c r="K38" i="33" s="1"/>
  <c r="D30" i="33"/>
  <c r="E30" i="33"/>
  <c r="F30" i="33"/>
  <c r="K30" i="33"/>
  <c r="L30" i="33"/>
  <c r="M30" i="33"/>
  <c r="N30" i="33"/>
  <c r="B34" i="33"/>
  <c r="D34" i="33"/>
  <c r="G34" i="33"/>
  <c r="H34" i="33"/>
  <c r="J34" i="33"/>
  <c r="K34" i="33"/>
  <c r="L34" i="33"/>
  <c r="B35" i="33"/>
  <c r="B37" i="33" s="1"/>
  <c r="F35" i="33"/>
  <c r="G35" i="33"/>
  <c r="G37" i="33"/>
  <c r="H35" i="33"/>
  <c r="H37" i="33" s="1"/>
  <c r="I35" i="33"/>
  <c r="I37" i="33" s="1"/>
  <c r="J35" i="33"/>
  <c r="J37" i="33" s="1"/>
  <c r="B44" i="33"/>
  <c r="B48" i="33"/>
  <c r="D44" i="33"/>
  <c r="E44" i="33"/>
  <c r="E48" i="33"/>
  <c r="E49" i="33" s="1"/>
  <c r="G44" i="33"/>
  <c r="G23" i="36" s="1"/>
  <c r="G48" i="33"/>
  <c r="G49" i="33" s="1"/>
  <c r="H44" i="33"/>
  <c r="H23" i="36" s="1"/>
  <c r="I44" i="33"/>
  <c r="I23" i="36" s="1"/>
  <c r="J44" i="33"/>
  <c r="J48" i="33"/>
  <c r="J49" i="33" s="1"/>
  <c r="B45" i="33"/>
  <c r="G45" i="33"/>
  <c r="H45" i="33"/>
  <c r="I45" i="33"/>
  <c r="J45" i="33"/>
  <c r="K45" i="33"/>
  <c r="L45" i="33"/>
  <c r="M45" i="33"/>
  <c r="N45" i="33"/>
  <c r="I22" i="41"/>
  <c r="D23" i="41"/>
  <c r="D25" i="41"/>
  <c r="E23" i="41"/>
  <c r="F23" i="41"/>
  <c r="L23" i="41"/>
  <c r="M23" i="41"/>
  <c r="N23" i="41"/>
  <c r="E32" i="41"/>
  <c r="E37" i="41"/>
  <c r="F37" i="41"/>
  <c r="J37" i="41"/>
  <c r="J39" i="41" s="1"/>
  <c r="K37" i="41"/>
  <c r="M37" i="41"/>
  <c r="J43" i="41"/>
  <c r="B44" i="41"/>
  <c r="D44" i="41"/>
  <c r="E44" i="41"/>
  <c r="F44" i="41"/>
  <c r="G44" i="41"/>
  <c r="J44" i="41"/>
  <c r="J46" i="41" s="1"/>
  <c r="L44" i="41"/>
  <c r="M44" i="41"/>
  <c r="N44" i="41"/>
  <c r="N46" i="41"/>
  <c r="D55" i="41"/>
  <c r="F55" i="41"/>
  <c r="H55" i="41"/>
  <c r="I55" i="41"/>
  <c r="J55" i="41"/>
  <c r="D56" i="41"/>
  <c r="E56" i="41"/>
  <c r="E58" i="41" s="1"/>
  <c r="F56" i="41"/>
  <c r="F58" i="41" s="1"/>
  <c r="G56" i="41"/>
  <c r="H56" i="41"/>
  <c r="H58" i="41" s="1"/>
  <c r="I56" i="41"/>
  <c r="I58" i="41" s="1"/>
  <c r="J56" i="41"/>
  <c r="J58" i="41" s="1"/>
  <c r="K56" i="41"/>
  <c r="L56" i="41"/>
  <c r="H67" i="41"/>
  <c r="I67" i="41"/>
  <c r="J67" i="41"/>
  <c r="K67" i="41"/>
  <c r="B68" i="41"/>
  <c r="B70" i="41" s="1"/>
  <c r="D68" i="41"/>
  <c r="E68" i="41"/>
  <c r="F68" i="41"/>
  <c r="H68" i="41"/>
  <c r="H70" i="41" s="1"/>
  <c r="I68" i="41"/>
  <c r="I70" i="41"/>
  <c r="J68" i="41"/>
  <c r="J70" i="41" s="1"/>
  <c r="H74" i="41"/>
  <c r="I74" i="41"/>
  <c r="J74" i="41"/>
  <c r="B75" i="41"/>
  <c r="B77" i="41" s="1"/>
  <c r="D75" i="41"/>
  <c r="D77" i="41"/>
  <c r="E75" i="41"/>
  <c r="H75" i="41"/>
  <c r="H77" i="41" s="1"/>
  <c r="I75" i="41"/>
  <c r="I77" i="41" s="1"/>
  <c r="J75" i="41"/>
  <c r="J77" i="41"/>
  <c r="B81" i="41"/>
  <c r="D81" i="41"/>
  <c r="F81" i="41"/>
  <c r="I81" i="41"/>
  <c r="J81" i="41"/>
  <c r="K81" i="41"/>
  <c r="B82" i="41"/>
  <c r="B84" i="41" s="1"/>
  <c r="D82" i="41"/>
  <c r="D84" i="41" s="1"/>
  <c r="E82" i="41"/>
  <c r="E84" i="41" s="1"/>
  <c r="G82" i="41"/>
  <c r="H82" i="41"/>
  <c r="H84" i="41" s="1"/>
  <c r="I82" i="41"/>
  <c r="I84" i="41" s="1"/>
  <c r="J82" i="41"/>
  <c r="J84" i="41" s="1"/>
  <c r="H88" i="41"/>
  <c r="H89" i="41"/>
  <c r="H91" i="41"/>
  <c r="I89" i="41"/>
  <c r="I91" i="41" s="1"/>
  <c r="H95" i="41"/>
  <c r="J95" i="41"/>
  <c r="K95" i="41"/>
  <c r="D96" i="41"/>
  <c r="D98" i="41" s="1"/>
  <c r="G96" i="41"/>
  <c r="G98" i="41" s="1"/>
  <c r="H96" i="41"/>
  <c r="H98" i="41" s="1"/>
  <c r="I96" i="41"/>
  <c r="I98" i="41" s="1"/>
  <c r="K96" i="41"/>
  <c r="L96" i="41"/>
  <c r="L98" i="41" s="1"/>
  <c r="M96" i="41"/>
  <c r="B107" i="41"/>
  <c r="F107" i="41"/>
  <c r="G107" i="41"/>
  <c r="K107" i="41"/>
  <c r="L107" i="41"/>
  <c r="B108" i="41"/>
  <c r="B110" i="41" s="1"/>
  <c r="D108" i="41"/>
  <c r="E108" i="41"/>
  <c r="F108" i="41"/>
  <c r="G108" i="41"/>
  <c r="G110" i="41" s="1"/>
  <c r="J108" i="41"/>
  <c r="J110" i="41" s="1"/>
  <c r="K108" i="41"/>
  <c r="K110" i="41" s="1"/>
  <c r="L108" i="41"/>
  <c r="L110" i="41" s="1"/>
  <c r="M108" i="41"/>
  <c r="E119" i="41"/>
  <c r="F119" i="41"/>
  <c r="I119" i="41"/>
  <c r="M119" i="41"/>
  <c r="B120" i="41"/>
  <c r="B122" i="41" s="1"/>
  <c r="D120" i="41"/>
  <c r="E120" i="41"/>
  <c r="G120" i="41"/>
  <c r="G122" i="41" s="1"/>
  <c r="H120" i="41"/>
  <c r="H122" i="41" s="1"/>
  <c r="I120" i="41"/>
  <c r="I122" i="41" s="1"/>
  <c r="L120" i="41"/>
  <c r="L122" i="41" s="1"/>
  <c r="O125" i="41"/>
  <c r="B126" i="41"/>
  <c r="D126" i="41"/>
  <c r="H126" i="41"/>
  <c r="I126" i="41"/>
  <c r="J126" i="41"/>
  <c r="B127" i="41"/>
  <c r="H127" i="41"/>
  <c r="H129" i="41" s="1"/>
  <c r="I127" i="41"/>
  <c r="I129" i="41" s="1"/>
  <c r="J127" i="41"/>
  <c r="J129" i="41" s="1"/>
  <c r="M127" i="41"/>
  <c r="M129" i="41" s="1"/>
  <c r="P131" i="41"/>
  <c r="O132" i="41"/>
  <c r="O134" i="41" s="1"/>
  <c r="B133" i="41"/>
  <c r="D133" i="41"/>
  <c r="G133" i="41"/>
  <c r="H133" i="41"/>
  <c r="I133" i="41"/>
  <c r="D134" i="41"/>
  <c r="D136" i="41" s="1"/>
  <c r="E134" i="41"/>
  <c r="E136" i="41" s="1"/>
  <c r="F134" i="41"/>
  <c r="F136" i="41" s="1"/>
  <c r="G134" i="41"/>
  <c r="G136" i="41" s="1"/>
  <c r="H134" i="41"/>
  <c r="H136" i="41" s="1"/>
  <c r="I134" i="41"/>
  <c r="I136" i="41" s="1"/>
  <c r="M134" i="41"/>
  <c r="B140" i="41"/>
  <c r="D140" i="41"/>
  <c r="H140" i="41"/>
  <c r="G141" i="41"/>
  <c r="G143" i="41" s="1"/>
  <c r="H141" i="41"/>
  <c r="H143" i="41" s="1"/>
  <c r="K141" i="41"/>
  <c r="H147" i="41"/>
  <c r="I147" i="41"/>
  <c r="I156" i="41" s="1"/>
  <c r="K147" i="41"/>
  <c r="H148" i="41"/>
  <c r="B152" i="41"/>
  <c r="G152" i="41"/>
  <c r="J152" i="41"/>
  <c r="K152" i="41"/>
  <c r="L152" i="41"/>
  <c r="M152" i="41"/>
  <c r="D153" i="41"/>
  <c r="D155" i="41" s="1"/>
  <c r="E153" i="41"/>
  <c r="E155" i="41" s="1"/>
  <c r="G153" i="41"/>
  <c r="H153" i="41"/>
  <c r="I153" i="41"/>
  <c r="J153" i="41"/>
  <c r="J155" i="41" s="1"/>
  <c r="I162" i="41"/>
  <c r="I167" i="41" s="1"/>
  <c r="I19" i="36" s="1"/>
  <c r="J162" i="41"/>
  <c r="J167" i="41" s="1"/>
  <c r="J19" i="36" s="1"/>
  <c r="K162" i="41"/>
  <c r="K167" i="41" s="1"/>
  <c r="K19" i="36" s="1"/>
  <c r="D163" i="41"/>
  <c r="E163" i="41"/>
  <c r="G163" i="41"/>
  <c r="I163" i="41"/>
  <c r="J163" i="41"/>
  <c r="B175" i="41"/>
  <c r="J175" i="41"/>
  <c r="P8" i="7"/>
  <c r="E15" i="7"/>
  <c r="F15" i="7"/>
  <c r="L15" i="7"/>
  <c r="M15" i="7"/>
  <c r="N15" i="7"/>
  <c r="E16" i="7"/>
  <c r="E18" i="7" s="1"/>
  <c r="H16" i="7"/>
  <c r="H18" i="7" s="1"/>
  <c r="I16" i="7"/>
  <c r="J16" i="7"/>
  <c r="K16" i="7"/>
  <c r="K18" i="7" s="1"/>
  <c r="L16" i="7"/>
  <c r="L18" i="7" s="1"/>
  <c r="D22" i="7"/>
  <c r="J22" i="7"/>
  <c r="K22" i="7"/>
  <c r="L22" i="7"/>
  <c r="D23" i="7"/>
  <c r="E23" i="7"/>
  <c r="F23" i="7"/>
  <c r="F25" i="7" s="1"/>
  <c r="H23" i="7"/>
  <c r="H25" i="7" s="1"/>
  <c r="L23" i="7"/>
  <c r="M23" i="7"/>
  <c r="N23" i="7"/>
  <c r="N25" i="7" s="1"/>
  <c r="J29" i="7"/>
  <c r="K29" i="7"/>
  <c r="L29" i="7"/>
  <c r="E32" i="7"/>
  <c r="F32" i="7"/>
  <c r="M32" i="7"/>
  <c r="N32" i="7"/>
  <c r="P34" i="7"/>
  <c r="D36" i="7"/>
  <c r="E36" i="7"/>
  <c r="F36" i="7"/>
  <c r="H36" i="7"/>
  <c r="I36" i="7"/>
  <c r="K36" i="7"/>
  <c r="L36" i="7"/>
  <c r="M36" i="7"/>
  <c r="N36" i="7"/>
  <c r="B39" i="7"/>
  <c r="D37" i="7"/>
  <c r="D39" i="7" s="1"/>
  <c r="E37" i="7"/>
  <c r="E39" i="7" s="1"/>
  <c r="F37" i="7"/>
  <c r="F39" i="7" s="1"/>
  <c r="H37" i="7"/>
  <c r="H39" i="7" s="1"/>
  <c r="I37" i="7"/>
  <c r="I39" i="7" s="1"/>
  <c r="J37" i="7"/>
  <c r="J39" i="7" s="1"/>
  <c r="K37" i="7"/>
  <c r="K39" i="7" s="1"/>
  <c r="L37" i="7"/>
  <c r="L39" i="7"/>
  <c r="M37" i="7"/>
  <c r="M39" i="7"/>
  <c r="N37" i="7"/>
  <c r="N39" i="7" s="1"/>
  <c r="F43" i="7"/>
  <c r="H43" i="7"/>
  <c r="B44" i="7"/>
  <c r="B46" i="7" s="1"/>
  <c r="D44" i="7"/>
  <c r="E44" i="7"/>
  <c r="F44" i="7"/>
  <c r="L44" i="7"/>
  <c r="M44" i="7"/>
  <c r="N44" i="7"/>
  <c r="B50" i="7"/>
  <c r="G50" i="7"/>
  <c r="H50" i="7"/>
  <c r="I50" i="7"/>
  <c r="J50" i="7"/>
  <c r="B51" i="7"/>
  <c r="B53" i="7" s="1"/>
  <c r="D51" i="7"/>
  <c r="D53" i="7" s="1"/>
  <c r="E51" i="7"/>
  <c r="E53" i="7" s="1"/>
  <c r="H51" i="7"/>
  <c r="H53" i="7" s="1"/>
  <c r="I51" i="7"/>
  <c r="I53" i="7" s="1"/>
  <c r="J51" i="7"/>
  <c r="J53" i="7" s="1"/>
  <c r="K51" i="7"/>
  <c r="K53" i="7" s="1"/>
  <c r="K57" i="7"/>
  <c r="B62" i="7"/>
  <c r="D62" i="7"/>
  <c r="E62" i="7"/>
  <c r="H62" i="7"/>
  <c r="I62" i="7"/>
  <c r="B63" i="7"/>
  <c r="B65" i="7" s="1"/>
  <c r="D63" i="7"/>
  <c r="E63" i="7"/>
  <c r="E65" i="7" s="1"/>
  <c r="G63" i="7"/>
  <c r="H63" i="7"/>
  <c r="H65" i="7"/>
  <c r="I63" i="7"/>
  <c r="I65" i="7"/>
  <c r="J63" i="7"/>
  <c r="J65" i="7" s="1"/>
  <c r="M63" i="7"/>
  <c r="M65" i="7" s="1"/>
  <c r="N63" i="7"/>
  <c r="B72" i="7"/>
  <c r="B76" i="7" s="1"/>
  <c r="B77" i="7" s="1"/>
  <c r="D72" i="7"/>
  <c r="D76" i="7" s="1"/>
  <c r="E72" i="7"/>
  <c r="E18" i="36" s="1"/>
  <c r="F72" i="7"/>
  <c r="F18" i="36" s="1"/>
  <c r="G72" i="7"/>
  <c r="G76" i="7" s="1"/>
  <c r="G77" i="7" s="1"/>
  <c r="H72" i="7"/>
  <c r="H76" i="7" s="1"/>
  <c r="H77" i="7" s="1"/>
  <c r="I72" i="7"/>
  <c r="I76" i="7"/>
  <c r="J72" i="7"/>
  <c r="J18" i="36" s="1"/>
  <c r="K72" i="7"/>
  <c r="K76" i="7" s="1"/>
  <c r="L72" i="7"/>
  <c r="L76" i="7" s="1"/>
  <c r="L77" i="7"/>
  <c r="B73" i="7"/>
  <c r="D73" i="7"/>
  <c r="E73" i="7"/>
  <c r="G73" i="7"/>
  <c r="H73" i="7"/>
  <c r="I73" i="7"/>
  <c r="J73" i="7"/>
  <c r="P8" i="6"/>
  <c r="P13" i="6"/>
  <c r="Q13" i="6" s="1"/>
  <c r="B15" i="6"/>
  <c r="F15" i="6"/>
  <c r="J15" i="6"/>
  <c r="N15" i="6"/>
  <c r="B16" i="6"/>
  <c r="B18" i="6" s="1"/>
  <c r="D16" i="6"/>
  <c r="D18" i="6" s="1"/>
  <c r="E16" i="6"/>
  <c r="J16" i="6"/>
  <c r="J18" i="6" s="1"/>
  <c r="K16" i="6"/>
  <c r="K18" i="6" s="1"/>
  <c r="L16" i="6"/>
  <c r="M16" i="6"/>
  <c r="B22" i="6"/>
  <c r="B31" i="6" s="1"/>
  <c r="F22" i="6"/>
  <c r="F31" i="6" s="1"/>
  <c r="G22" i="6"/>
  <c r="G31" i="6" s="1"/>
  <c r="H22" i="6"/>
  <c r="H31" i="6" s="1"/>
  <c r="I22" i="6"/>
  <c r="J22" i="6"/>
  <c r="J31" i="6"/>
  <c r="K22" i="6"/>
  <c r="K31" i="6" s="1"/>
  <c r="M22" i="6"/>
  <c r="M31" i="6" s="1"/>
  <c r="N22" i="6"/>
  <c r="N31" i="6" s="1"/>
  <c r="D23" i="6"/>
  <c r="E23" i="6"/>
  <c r="F23" i="6"/>
  <c r="I23" i="6"/>
  <c r="J23" i="6"/>
  <c r="K23" i="6"/>
  <c r="L23" i="6"/>
  <c r="M23" i="6"/>
  <c r="N23" i="6"/>
  <c r="D27" i="6"/>
  <c r="F27" i="6"/>
  <c r="H27" i="6"/>
  <c r="B28" i="6"/>
  <c r="B30" i="6" s="1"/>
  <c r="D28" i="6"/>
  <c r="D30" i="6" s="1"/>
  <c r="G28" i="6"/>
  <c r="G30" i="6" s="1"/>
  <c r="H28" i="6"/>
  <c r="H30" i="6" s="1"/>
  <c r="I28" i="6"/>
  <c r="J28" i="6"/>
  <c r="L28" i="6"/>
  <c r="L30" i="6" s="1"/>
  <c r="M28" i="6"/>
  <c r="M30" i="6" s="1"/>
  <c r="N28" i="6"/>
  <c r="E27" i="6"/>
  <c r="G27" i="6"/>
  <c r="B37" i="6"/>
  <c r="B41" i="6" s="1"/>
  <c r="B42" i="6" s="1"/>
  <c r="D37" i="6"/>
  <c r="D17" i="36" s="1"/>
  <c r="E37" i="6"/>
  <c r="G37" i="6"/>
  <c r="G41" i="6" s="1"/>
  <c r="G42" i="6" s="1"/>
  <c r="H37" i="6"/>
  <c r="H41" i="6" s="1"/>
  <c r="J37" i="6"/>
  <c r="M37" i="6"/>
  <c r="M41" i="6" s="1"/>
  <c r="B38" i="6"/>
  <c r="G38" i="6"/>
  <c r="H38" i="6"/>
  <c r="I38" i="6"/>
  <c r="J38" i="6"/>
  <c r="K38" i="6"/>
  <c r="L38" i="6"/>
  <c r="E41" i="6"/>
  <c r="E42" i="6" s="1"/>
  <c r="D15" i="11"/>
  <c r="E15" i="11"/>
  <c r="L15" i="11"/>
  <c r="M15" i="11"/>
  <c r="B16" i="11"/>
  <c r="B18" i="11"/>
  <c r="D16" i="11"/>
  <c r="D18" i="11"/>
  <c r="E16" i="11"/>
  <c r="F16" i="11"/>
  <c r="F18" i="11" s="1"/>
  <c r="J16" i="11"/>
  <c r="J18" i="11" s="1"/>
  <c r="K16" i="11"/>
  <c r="K18" i="11" s="1"/>
  <c r="L16" i="11"/>
  <c r="L18" i="11"/>
  <c r="M16" i="11"/>
  <c r="N16" i="11"/>
  <c r="N18" i="11" s="1"/>
  <c r="P20" i="11"/>
  <c r="B22" i="11"/>
  <c r="I22" i="11"/>
  <c r="J22" i="11"/>
  <c r="K22" i="11"/>
  <c r="D23" i="11"/>
  <c r="E23" i="11"/>
  <c r="F23" i="11"/>
  <c r="I23" i="11"/>
  <c r="I25" i="11" s="1"/>
  <c r="L23" i="11"/>
  <c r="M23" i="11"/>
  <c r="N23" i="11"/>
  <c r="F29" i="11"/>
  <c r="J29" i="11"/>
  <c r="K29" i="11"/>
  <c r="B30" i="11"/>
  <c r="B32" i="11" s="1"/>
  <c r="D30" i="11"/>
  <c r="E30" i="11"/>
  <c r="F30" i="11"/>
  <c r="F32" i="11" s="1"/>
  <c r="H30" i="11"/>
  <c r="H32" i="11" s="1"/>
  <c r="I30" i="11"/>
  <c r="I32" i="11" s="1"/>
  <c r="J30" i="11"/>
  <c r="J32" i="11" s="1"/>
  <c r="K30" i="11"/>
  <c r="K32" i="11" s="1"/>
  <c r="L30" i="11"/>
  <c r="M30" i="11"/>
  <c r="N30" i="11"/>
  <c r="N32" i="11" s="1"/>
  <c r="P34" i="11"/>
  <c r="H36" i="11"/>
  <c r="I36" i="11"/>
  <c r="D37" i="11"/>
  <c r="E37" i="11"/>
  <c r="E39" i="11" s="1"/>
  <c r="F37" i="11"/>
  <c r="F39" i="11" s="1"/>
  <c r="I37" i="11"/>
  <c r="I39" i="11" s="1"/>
  <c r="J37" i="11"/>
  <c r="J39" i="11" s="1"/>
  <c r="K37" i="11"/>
  <c r="K39" i="11" s="1"/>
  <c r="L37" i="11"/>
  <c r="L39" i="11" s="1"/>
  <c r="M37" i="11"/>
  <c r="M39" i="11" s="1"/>
  <c r="N37" i="11"/>
  <c r="B43" i="11"/>
  <c r="B52" i="11" s="1"/>
  <c r="I43" i="11"/>
  <c r="J43" i="11"/>
  <c r="J52" i="11" s="1"/>
  <c r="K43" i="11"/>
  <c r="K52" i="11" s="1"/>
  <c r="D44" i="11"/>
  <c r="E44" i="11"/>
  <c r="F44" i="11"/>
  <c r="L44" i="11"/>
  <c r="M44" i="11"/>
  <c r="N44" i="11"/>
  <c r="D48" i="11"/>
  <c r="I48" i="11"/>
  <c r="J48" i="11"/>
  <c r="B49" i="11"/>
  <c r="B51" i="11" s="1"/>
  <c r="D49" i="11"/>
  <c r="D51" i="11" s="1"/>
  <c r="E49" i="11"/>
  <c r="F49" i="11"/>
  <c r="F51" i="11" s="1"/>
  <c r="G49" i="11"/>
  <c r="G51" i="11" s="1"/>
  <c r="J49" i="11"/>
  <c r="J51" i="11" s="1"/>
  <c r="K49" i="11"/>
  <c r="K51" i="11" s="1"/>
  <c r="L49" i="11"/>
  <c r="L51" i="11" s="1"/>
  <c r="M49" i="11"/>
  <c r="N49" i="11"/>
  <c r="N51" i="11" s="1"/>
  <c r="O59" i="11"/>
  <c r="O61" i="11" s="1"/>
  <c r="B60" i="11"/>
  <c r="H60" i="11"/>
  <c r="B61" i="11"/>
  <c r="B63" i="11" s="1"/>
  <c r="D61" i="11"/>
  <c r="E61" i="11"/>
  <c r="E63" i="11" s="1"/>
  <c r="F61" i="11"/>
  <c r="F63" i="11" s="1"/>
  <c r="J61" i="11"/>
  <c r="J63" i="11" s="1"/>
  <c r="K61" i="11"/>
  <c r="K63" i="11" s="1"/>
  <c r="L61" i="11"/>
  <c r="L63" i="11"/>
  <c r="M61" i="11"/>
  <c r="N61" i="11"/>
  <c r="B67" i="11"/>
  <c r="E67" i="11"/>
  <c r="H67" i="11"/>
  <c r="I67" i="11"/>
  <c r="J67" i="11"/>
  <c r="L67" i="11"/>
  <c r="M67" i="11"/>
  <c r="B68" i="11"/>
  <c r="D68" i="11"/>
  <c r="E68" i="11"/>
  <c r="E70" i="11" s="1"/>
  <c r="F68" i="11"/>
  <c r="F70" i="11" s="1"/>
  <c r="K68" i="11"/>
  <c r="L68" i="11"/>
  <c r="L70" i="11" s="1"/>
  <c r="M68" i="11"/>
  <c r="B74" i="11"/>
  <c r="D74" i="11"/>
  <c r="E74" i="11"/>
  <c r="F74" i="11"/>
  <c r="H74" i="11"/>
  <c r="I74" i="11"/>
  <c r="J74" i="11"/>
  <c r="L74" i="11"/>
  <c r="B75" i="11"/>
  <c r="B77" i="11" s="1"/>
  <c r="G75" i="11"/>
  <c r="G77" i="11" s="1"/>
  <c r="H75" i="11"/>
  <c r="H77" i="11" s="1"/>
  <c r="I75" i="11"/>
  <c r="I77" i="11" s="1"/>
  <c r="J75" i="11"/>
  <c r="J77" i="11" s="1"/>
  <c r="K75" i="11"/>
  <c r="L75" i="11"/>
  <c r="L77" i="11" s="1"/>
  <c r="D81" i="11"/>
  <c r="D90" i="11" s="1"/>
  <c r="H81" i="11"/>
  <c r="H90" i="11" s="1"/>
  <c r="I81" i="11"/>
  <c r="I90" i="11" s="1"/>
  <c r="B82" i="11"/>
  <c r="D82" i="11"/>
  <c r="L82" i="11"/>
  <c r="B86" i="11"/>
  <c r="D86" i="11"/>
  <c r="G86" i="11"/>
  <c r="H86" i="11"/>
  <c r="I86" i="11"/>
  <c r="K86" i="11"/>
  <c r="L86" i="11"/>
  <c r="B87" i="11"/>
  <c r="B89" i="11"/>
  <c r="D87" i="11"/>
  <c r="D89" i="11" s="1"/>
  <c r="E87" i="11"/>
  <c r="G87" i="11"/>
  <c r="G89" i="11" s="1"/>
  <c r="H87" i="11"/>
  <c r="H89" i="11" s="1"/>
  <c r="I87" i="11"/>
  <c r="I89" i="11" s="1"/>
  <c r="J87" i="11"/>
  <c r="J89" i="11" s="1"/>
  <c r="K87" i="11"/>
  <c r="K89" i="11" s="1"/>
  <c r="L87" i="11"/>
  <c r="L89" i="11" s="1"/>
  <c r="B96" i="11"/>
  <c r="D96" i="11"/>
  <c r="D100" i="11" s="1"/>
  <c r="G96" i="11"/>
  <c r="G100" i="11" s="1"/>
  <c r="G16" i="36" s="1"/>
  <c r="I96" i="11"/>
  <c r="I100" i="11" s="1"/>
  <c r="J96" i="11"/>
  <c r="J100" i="11"/>
  <c r="J16" i="36" s="1"/>
  <c r="B97" i="11"/>
  <c r="D97" i="11"/>
  <c r="E97" i="11"/>
  <c r="F97" i="11"/>
  <c r="G97" i="11"/>
  <c r="I97" i="11"/>
  <c r="J97" i="11"/>
  <c r="B108" i="11"/>
  <c r="D108" i="11"/>
  <c r="G108" i="11"/>
  <c r="I108" i="11"/>
  <c r="P8" i="43"/>
  <c r="E15" i="43"/>
  <c r="F15" i="43"/>
  <c r="H15" i="43"/>
  <c r="I15" i="43"/>
  <c r="J15" i="43"/>
  <c r="K15" i="43"/>
  <c r="M15" i="43"/>
  <c r="N15" i="43"/>
  <c r="D16" i="43"/>
  <c r="E16" i="43"/>
  <c r="E18" i="43" s="1"/>
  <c r="F16" i="43"/>
  <c r="F18" i="43" s="1"/>
  <c r="H16" i="43"/>
  <c r="I16" i="43"/>
  <c r="J16" i="43"/>
  <c r="K16" i="43"/>
  <c r="L16" i="43"/>
  <c r="M16" i="43"/>
  <c r="N16" i="43"/>
  <c r="N18" i="43" s="1"/>
  <c r="D22" i="43"/>
  <c r="E22" i="43"/>
  <c r="F22" i="43"/>
  <c r="H22" i="43"/>
  <c r="I22" i="43"/>
  <c r="J22" i="43"/>
  <c r="K22" i="43"/>
  <c r="L22" i="43"/>
  <c r="M22" i="43"/>
  <c r="N22" i="43"/>
  <c r="D23" i="43"/>
  <c r="E23" i="43"/>
  <c r="F23" i="43"/>
  <c r="G23" i="43"/>
  <c r="H23" i="43"/>
  <c r="I23" i="43"/>
  <c r="J23" i="43"/>
  <c r="K23" i="43"/>
  <c r="L23" i="43"/>
  <c r="M23" i="43"/>
  <c r="N23" i="43"/>
  <c r="N25" i="43" s="1"/>
  <c r="B29" i="43"/>
  <c r="B38" i="43" s="1"/>
  <c r="E29" i="43"/>
  <c r="E38" i="43" s="1"/>
  <c r="F29" i="43"/>
  <c r="H29" i="43"/>
  <c r="H38" i="43" s="1"/>
  <c r="I29" i="43"/>
  <c r="I38" i="43" s="1"/>
  <c r="J29" i="43"/>
  <c r="J38" i="43" s="1"/>
  <c r="K29" i="43"/>
  <c r="K38" i="43" s="1"/>
  <c r="M29" i="43"/>
  <c r="M38" i="43" s="1"/>
  <c r="N29" i="43"/>
  <c r="N38" i="43" s="1"/>
  <c r="B30" i="43"/>
  <c r="D30" i="43"/>
  <c r="E30" i="43"/>
  <c r="F30" i="43"/>
  <c r="H30" i="43"/>
  <c r="I30" i="43"/>
  <c r="J30" i="43"/>
  <c r="K30" i="43"/>
  <c r="L30" i="43"/>
  <c r="M30" i="43"/>
  <c r="N30" i="43"/>
  <c r="O33" i="43"/>
  <c r="P35" i="43" s="1"/>
  <c r="P33" i="43"/>
  <c r="B34" i="43"/>
  <c r="D34" i="43"/>
  <c r="E34" i="43"/>
  <c r="F34" i="43"/>
  <c r="G34" i="43"/>
  <c r="H34" i="43"/>
  <c r="I34" i="43"/>
  <c r="J34" i="43"/>
  <c r="K34" i="43"/>
  <c r="L34" i="43"/>
  <c r="M34" i="43"/>
  <c r="N34" i="43"/>
  <c r="D35" i="43"/>
  <c r="E35" i="43"/>
  <c r="F35" i="43"/>
  <c r="G35" i="43"/>
  <c r="H35" i="43"/>
  <c r="I35" i="43"/>
  <c r="J35" i="43"/>
  <c r="K35" i="43"/>
  <c r="L35" i="43"/>
  <c r="M35" i="43"/>
  <c r="N35" i="43"/>
  <c r="N37" i="43" s="1"/>
  <c r="B44" i="43"/>
  <c r="B48" i="43" s="1"/>
  <c r="D44" i="43"/>
  <c r="D48" i="43"/>
  <c r="C35" i="38" s="1"/>
  <c r="E44" i="43"/>
  <c r="E48" i="43" s="1"/>
  <c r="F44" i="43"/>
  <c r="F48" i="43" s="1"/>
  <c r="G44" i="43"/>
  <c r="G48" i="43" s="1"/>
  <c r="H44" i="43"/>
  <c r="H48" i="43" s="1"/>
  <c r="G35" i="38" s="1"/>
  <c r="I44" i="43"/>
  <c r="I48" i="43" s="1"/>
  <c r="H35" i="38" s="1"/>
  <c r="J44" i="43"/>
  <c r="K44" i="43"/>
  <c r="K48" i="43" s="1"/>
  <c r="J35" i="38" s="1"/>
  <c r="L44" i="43"/>
  <c r="M44" i="43"/>
  <c r="M48" i="43" s="1"/>
  <c r="M49" i="43"/>
  <c r="N44" i="43"/>
  <c r="N48" i="43" s="1"/>
  <c r="B45" i="43"/>
  <c r="D45" i="43"/>
  <c r="E45" i="43"/>
  <c r="F45" i="43"/>
  <c r="G45" i="43"/>
  <c r="H45" i="43"/>
  <c r="I45" i="43"/>
  <c r="J45" i="43"/>
  <c r="K45" i="43"/>
  <c r="L45" i="43"/>
  <c r="M45" i="43"/>
  <c r="N45" i="43"/>
  <c r="I49" i="43"/>
  <c r="P8" i="42"/>
  <c r="B15" i="42"/>
  <c r="F15" i="42"/>
  <c r="I15" i="42"/>
  <c r="J15" i="42"/>
  <c r="N15" i="42"/>
  <c r="D16" i="42"/>
  <c r="E16" i="42"/>
  <c r="F16" i="42"/>
  <c r="L16" i="42"/>
  <c r="M16" i="42"/>
  <c r="N16" i="42"/>
  <c r="P20" i="42"/>
  <c r="P22" i="42" s="1"/>
  <c r="P24" i="42" s="1"/>
  <c r="O21" i="42"/>
  <c r="J22" i="42"/>
  <c r="K22" i="42"/>
  <c r="B23" i="42"/>
  <c r="B25" i="42"/>
  <c r="D23" i="42"/>
  <c r="D25" i="42" s="1"/>
  <c r="E23" i="42"/>
  <c r="F23" i="42"/>
  <c r="I23" i="42"/>
  <c r="I25" i="42" s="1"/>
  <c r="J23" i="42"/>
  <c r="J25" i="42" s="1"/>
  <c r="K23" i="42"/>
  <c r="K25" i="42" s="1"/>
  <c r="L23" i="42"/>
  <c r="L25" i="42" s="1"/>
  <c r="M23" i="42"/>
  <c r="N23" i="42"/>
  <c r="N25" i="42" s="1"/>
  <c r="B29" i="42"/>
  <c r="I29" i="42"/>
  <c r="I38" i="42" s="1"/>
  <c r="J29" i="42"/>
  <c r="J38" i="42" s="1"/>
  <c r="K29" i="42"/>
  <c r="K38" i="42" s="1"/>
  <c r="B30" i="42"/>
  <c r="D30" i="42"/>
  <c r="E30" i="42"/>
  <c r="F30" i="42"/>
  <c r="K30" i="42"/>
  <c r="L30" i="42"/>
  <c r="M30" i="42"/>
  <c r="N30" i="42"/>
  <c r="O33" i="42"/>
  <c r="O35" i="42" s="1"/>
  <c r="B34" i="42"/>
  <c r="E34" i="42"/>
  <c r="F34" i="42"/>
  <c r="H34" i="42"/>
  <c r="I34" i="42"/>
  <c r="J34" i="42"/>
  <c r="K34" i="42"/>
  <c r="M34" i="42"/>
  <c r="N34" i="42"/>
  <c r="B35" i="42"/>
  <c r="B37" i="42"/>
  <c r="D35" i="42"/>
  <c r="D37" i="42" s="1"/>
  <c r="E35" i="42"/>
  <c r="E37" i="42" s="1"/>
  <c r="F35" i="42"/>
  <c r="F37" i="42"/>
  <c r="H35" i="42"/>
  <c r="H37" i="42" s="1"/>
  <c r="I35" i="42"/>
  <c r="I37" i="42" s="1"/>
  <c r="J35" i="42"/>
  <c r="J37" i="42" s="1"/>
  <c r="K35" i="42"/>
  <c r="K37" i="42" s="1"/>
  <c r="L35" i="42"/>
  <c r="M35" i="42"/>
  <c r="M37" i="42" s="1"/>
  <c r="N35" i="42"/>
  <c r="N37" i="42" s="1"/>
  <c r="B44" i="42"/>
  <c r="B48" i="42" s="1"/>
  <c r="C24" i="36" s="1"/>
  <c r="D44" i="42"/>
  <c r="D48" i="42" s="1"/>
  <c r="D24" i="36" s="1"/>
  <c r="E44" i="42"/>
  <c r="E48" i="42"/>
  <c r="E24" i="36" s="1"/>
  <c r="F44" i="42"/>
  <c r="F48" i="42"/>
  <c r="F49" i="42" s="1"/>
  <c r="G44" i="42"/>
  <c r="G48" i="42" s="1"/>
  <c r="G24" i="36" s="1"/>
  <c r="H44" i="42"/>
  <c r="I44" i="42"/>
  <c r="I48" i="42"/>
  <c r="I24" i="36" s="1"/>
  <c r="J44" i="42"/>
  <c r="K44" i="42"/>
  <c r="M44" i="42"/>
  <c r="N44" i="42"/>
  <c r="N48" i="42" s="1"/>
  <c r="B45" i="42"/>
  <c r="D45" i="42"/>
  <c r="E45" i="42"/>
  <c r="F45" i="42"/>
  <c r="H45" i="42"/>
  <c r="I45" i="42"/>
  <c r="J45" i="42"/>
  <c r="K45" i="42"/>
  <c r="L45" i="42"/>
  <c r="M45" i="42"/>
  <c r="N45" i="42"/>
  <c r="B15" i="8"/>
  <c r="F15" i="8"/>
  <c r="I15" i="8"/>
  <c r="K15" i="8"/>
  <c r="N15" i="8"/>
  <c r="D16" i="8"/>
  <c r="E16" i="8"/>
  <c r="F16" i="8"/>
  <c r="F18" i="8" s="1"/>
  <c r="I16" i="8"/>
  <c r="I18" i="8" s="1"/>
  <c r="K16" i="8"/>
  <c r="K18" i="8" s="1"/>
  <c r="L16" i="8"/>
  <c r="M16" i="8"/>
  <c r="N16" i="8"/>
  <c r="N18" i="8" s="1"/>
  <c r="B22" i="8"/>
  <c r="K22" i="8"/>
  <c r="D23" i="8"/>
  <c r="E23" i="8"/>
  <c r="F23" i="8"/>
  <c r="J23" i="8"/>
  <c r="J25" i="8" s="1"/>
  <c r="K23" i="8"/>
  <c r="K25" i="8" s="1"/>
  <c r="L23" i="8"/>
  <c r="M23" i="8"/>
  <c r="N23" i="8"/>
  <c r="B30" i="8"/>
  <c r="B32" i="8" s="1"/>
  <c r="D30" i="8"/>
  <c r="F30" i="8"/>
  <c r="L30" i="8"/>
  <c r="M30" i="8"/>
  <c r="N30" i="8"/>
  <c r="D36" i="8"/>
  <c r="E36" i="8"/>
  <c r="F36" i="8"/>
  <c r="H36" i="8"/>
  <c r="K36" i="8"/>
  <c r="L36" i="8"/>
  <c r="M36" i="8"/>
  <c r="N36" i="8"/>
  <c r="B37" i="8"/>
  <c r="F37" i="8"/>
  <c r="F39" i="8"/>
  <c r="G37" i="8"/>
  <c r="H37" i="8"/>
  <c r="H39" i="8" s="1"/>
  <c r="I37" i="8"/>
  <c r="J37" i="8"/>
  <c r="K37" i="8"/>
  <c r="N37" i="8"/>
  <c r="N39" i="8" s="1"/>
  <c r="L44" i="8"/>
  <c r="M44" i="8"/>
  <c r="N44" i="8"/>
  <c r="F48" i="8"/>
  <c r="I48" i="8"/>
  <c r="J48" i="8"/>
  <c r="K48" i="8"/>
  <c r="B49" i="8"/>
  <c r="B51" i="8" s="1"/>
  <c r="D49" i="8"/>
  <c r="E49" i="8"/>
  <c r="E51" i="8" s="1"/>
  <c r="F49" i="8"/>
  <c r="J49" i="8"/>
  <c r="J51" i="8" s="1"/>
  <c r="K49" i="8"/>
  <c r="K51" i="8" s="1"/>
  <c r="L49" i="8"/>
  <c r="L51" i="8"/>
  <c r="M49" i="8"/>
  <c r="N49" i="8"/>
  <c r="B58" i="8"/>
  <c r="B62" i="8" s="1"/>
  <c r="F58" i="8"/>
  <c r="F62" i="8" s="1"/>
  <c r="H58" i="8"/>
  <c r="H62" i="8" s="1"/>
  <c r="H63" i="8" s="1"/>
  <c r="I58" i="8"/>
  <c r="I15" i="36" s="1"/>
  <c r="J58" i="8"/>
  <c r="J62" i="8" s="1"/>
  <c r="J63" i="8" s="1"/>
  <c r="K58" i="8"/>
  <c r="K15" i="36" s="1"/>
  <c r="B59" i="8"/>
  <c r="D59" i="8"/>
  <c r="E59" i="8"/>
  <c r="F59" i="8"/>
  <c r="J59" i="8"/>
  <c r="K59" i="8"/>
  <c r="L59" i="8"/>
  <c r="M59" i="8"/>
  <c r="N59" i="8"/>
  <c r="B15" i="12"/>
  <c r="E15" i="12"/>
  <c r="E16" i="12"/>
  <c r="E18" i="12" s="1"/>
  <c r="F16" i="12"/>
  <c r="H16" i="12"/>
  <c r="M16" i="12"/>
  <c r="M18" i="12" s="1"/>
  <c r="N16" i="12"/>
  <c r="H22" i="12"/>
  <c r="D23" i="12"/>
  <c r="E23" i="12"/>
  <c r="F23" i="12"/>
  <c r="H23" i="12"/>
  <c r="H25" i="12" s="1"/>
  <c r="M23" i="12"/>
  <c r="M25" i="12" s="1"/>
  <c r="N23" i="12"/>
  <c r="B30" i="12"/>
  <c r="I30" i="12"/>
  <c r="J30" i="12"/>
  <c r="F41" i="12"/>
  <c r="N41" i="12"/>
  <c r="E54" i="12"/>
  <c r="K54" i="12"/>
  <c r="L54" i="12"/>
  <c r="N54" i="12"/>
  <c r="N56" i="12" s="1"/>
  <c r="E61" i="12"/>
  <c r="F61" i="12"/>
  <c r="L61" i="12"/>
  <c r="H67" i="12"/>
  <c r="H68" i="12"/>
  <c r="D75" i="12"/>
  <c r="E75" i="12"/>
  <c r="G79" i="12"/>
  <c r="I79" i="12"/>
  <c r="H80" i="12"/>
  <c r="I80" i="12"/>
  <c r="N80" i="12"/>
  <c r="B90" i="12"/>
  <c r="K101" i="12"/>
  <c r="P8" i="4"/>
  <c r="I15" i="4"/>
  <c r="J15" i="4"/>
  <c r="K15" i="4"/>
  <c r="M15" i="4"/>
  <c r="N15" i="4"/>
  <c r="D16" i="4"/>
  <c r="E16" i="4"/>
  <c r="I16" i="4"/>
  <c r="I18" i="4"/>
  <c r="J16" i="4"/>
  <c r="J18" i="4" s="1"/>
  <c r="L16" i="4"/>
  <c r="M16" i="4"/>
  <c r="N16" i="4"/>
  <c r="E22" i="4"/>
  <c r="J22" i="4"/>
  <c r="K22" i="4"/>
  <c r="M22" i="4"/>
  <c r="D23" i="4"/>
  <c r="E23" i="4"/>
  <c r="H23" i="4"/>
  <c r="H25" i="4" s="1"/>
  <c r="K23" i="4"/>
  <c r="K25" i="4" s="1"/>
  <c r="L23" i="4"/>
  <c r="M23" i="4"/>
  <c r="M25" i="4" s="1"/>
  <c r="N23" i="4"/>
  <c r="B29" i="4"/>
  <c r="D29" i="4"/>
  <c r="H29" i="4"/>
  <c r="I29" i="4"/>
  <c r="J29" i="4"/>
  <c r="K29" i="4"/>
  <c r="L29" i="4"/>
  <c r="B30" i="4"/>
  <c r="B32" i="4" s="1"/>
  <c r="D30" i="4"/>
  <c r="D32" i="4" s="1"/>
  <c r="E30" i="4"/>
  <c r="I30" i="4"/>
  <c r="I32" i="4" s="1"/>
  <c r="J30" i="4"/>
  <c r="K30" i="4"/>
  <c r="L30" i="4"/>
  <c r="B36" i="4"/>
  <c r="B45" i="4" s="1"/>
  <c r="D41" i="4"/>
  <c r="G41" i="4"/>
  <c r="H41" i="4"/>
  <c r="I41" i="4"/>
  <c r="B42" i="4"/>
  <c r="B44" i="4" s="1"/>
  <c r="D42" i="4"/>
  <c r="D44" i="4" s="1"/>
  <c r="E42" i="4"/>
  <c r="E44" i="4" s="1"/>
  <c r="F42" i="4"/>
  <c r="F44" i="4"/>
  <c r="G42" i="4"/>
  <c r="G44" i="4" s="1"/>
  <c r="M42" i="4"/>
  <c r="N42" i="4"/>
  <c r="N44" i="4" s="1"/>
  <c r="B53" i="4"/>
  <c r="D53" i="4"/>
  <c r="H53" i="4"/>
  <c r="I53" i="4"/>
  <c r="J53" i="4"/>
  <c r="B54" i="4"/>
  <c r="B56" i="4" s="1"/>
  <c r="D54" i="4"/>
  <c r="D56" i="4" s="1"/>
  <c r="E54" i="4"/>
  <c r="E56" i="4" s="1"/>
  <c r="H54" i="4"/>
  <c r="H56" i="4"/>
  <c r="I54" i="4"/>
  <c r="I56" i="4" s="1"/>
  <c r="J54" i="4"/>
  <c r="J56" i="4" s="1"/>
  <c r="K54" i="4"/>
  <c r="L54" i="4"/>
  <c r="H60" i="4"/>
  <c r="I60" i="4"/>
  <c r="J60" i="4"/>
  <c r="K60" i="4"/>
  <c r="L60" i="4"/>
  <c r="M60" i="4"/>
  <c r="N60" i="4"/>
  <c r="B61" i="4"/>
  <c r="D61" i="4"/>
  <c r="E61" i="4"/>
  <c r="F61" i="4"/>
  <c r="H61" i="4"/>
  <c r="H63" i="4" s="1"/>
  <c r="I61" i="4"/>
  <c r="I63" i="4" s="1"/>
  <c r="J61" i="4"/>
  <c r="J63" i="4" s="1"/>
  <c r="K61" i="4"/>
  <c r="K63" i="4" s="1"/>
  <c r="L61" i="4"/>
  <c r="L63" i="4" s="1"/>
  <c r="N61" i="4"/>
  <c r="N63" i="4" s="1"/>
  <c r="J76" i="4"/>
  <c r="B68" i="4"/>
  <c r="O71" i="4"/>
  <c r="O73" i="4" s="1"/>
  <c r="P71" i="4"/>
  <c r="B72" i="4"/>
  <c r="D72" i="4"/>
  <c r="E72" i="4"/>
  <c r="F72" i="4"/>
  <c r="G72" i="4"/>
  <c r="H72" i="4"/>
  <c r="I72" i="4"/>
  <c r="J72" i="4"/>
  <c r="K72" i="4"/>
  <c r="L72" i="4"/>
  <c r="M72" i="4"/>
  <c r="N72" i="4"/>
  <c r="B73" i="4"/>
  <c r="B75" i="4" s="1"/>
  <c r="D73" i="4"/>
  <c r="D75" i="4"/>
  <c r="E73" i="4"/>
  <c r="E75" i="4"/>
  <c r="F73" i="4"/>
  <c r="F75" i="4" s="1"/>
  <c r="G73" i="4"/>
  <c r="G75" i="4" s="1"/>
  <c r="H73" i="4"/>
  <c r="H75" i="4"/>
  <c r="I73" i="4"/>
  <c r="I75" i="4"/>
  <c r="J73" i="4"/>
  <c r="J75" i="4" s="1"/>
  <c r="K73" i="4"/>
  <c r="K75" i="4" s="1"/>
  <c r="L73" i="4"/>
  <c r="L75" i="4" s="1"/>
  <c r="M73" i="4"/>
  <c r="M75" i="4"/>
  <c r="N73" i="4"/>
  <c r="N75" i="4" s="1"/>
  <c r="H76" i="4"/>
  <c r="B82" i="4"/>
  <c r="D82" i="4"/>
  <c r="D86" i="4" s="1"/>
  <c r="D13" i="36" s="1"/>
  <c r="E82" i="4"/>
  <c r="E86" i="4" s="1"/>
  <c r="G82" i="4"/>
  <c r="G86" i="4" s="1"/>
  <c r="G13" i="36" s="1"/>
  <c r="H82" i="4"/>
  <c r="H86" i="4" s="1"/>
  <c r="H13" i="36" s="1"/>
  <c r="I82" i="4"/>
  <c r="I86" i="4" s="1"/>
  <c r="J82" i="4"/>
  <c r="K82" i="4"/>
  <c r="K87" i="4" s="1"/>
  <c r="K86" i="4"/>
  <c r="K13" i="36" s="1"/>
  <c r="L82" i="4"/>
  <c r="L86" i="4" s="1"/>
  <c r="B83" i="4"/>
  <c r="D83" i="4"/>
  <c r="G83" i="4"/>
  <c r="M83" i="4"/>
  <c r="N83" i="4"/>
  <c r="B94" i="4"/>
  <c r="P8" i="2"/>
  <c r="J15" i="2"/>
  <c r="K15" i="2"/>
  <c r="N15" i="2"/>
  <c r="D16" i="2"/>
  <c r="E16" i="2"/>
  <c r="E18" i="2" s="1"/>
  <c r="F16" i="2"/>
  <c r="H16" i="2"/>
  <c r="H18" i="2" s="1"/>
  <c r="I16" i="2"/>
  <c r="I18" i="2" s="1"/>
  <c r="J16" i="2"/>
  <c r="J18" i="2" s="1"/>
  <c r="K16" i="2"/>
  <c r="L16" i="2"/>
  <c r="M16" i="2"/>
  <c r="M18" i="2" s="1"/>
  <c r="N16" i="2"/>
  <c r="N18" i="2" s="1"/>
  <c r="P20" i="2"/>
  <c r="P22" i="2" s="1"/>
  <c r="P24" i="2" s="1"/>
  <c r="O21" i="2"/>
  <c r="P23" i="2" s="1"/>
  <c r="J22" i="2"/>
  <c r="K22" i="2"/>
  <c r="N22" i="2"/>
  <c r="D23" i="2"/>
  <c r="D25" i="2"/>
  <c r="F23" i="2"/>
  <c r="H23" i="2"/>
  <c r="H25" i="2"/>
  <c r="K23" i="2"/>
  <c r="K25" i="2"/>
  <c r="L23" i="2"/>
  <c r="L25" i="2"/>
  <c r="N23" i="2"/>
  <c r="K29" i="2"/>
  <c r="D30" i="2"/>
  <c r="E30" i="2"/>
  <c r="L30" i="2"/>
  <c r="M30" i="2"/>
  <c r="N30" i="2"/>
  <c r="N32" i="2" s="1"/>
  <c r="E37" i="2"/>
  <c r="F37" i="2"/>
  <c r="L37" i="2"/>
  <c r="M37" i="2"/>
  <c r="N37" i="2"/>
  <c r="D41" i="2"/>
  <c r="G41" i="2"/>
  <c r="H41" i="2"/>
  <c r="I41" i="2"/>
  <c r="J41" i="2"/>
  <c r="D42" i="2"/>
  <c r="D44" i="2" s="1"/>
  <c r="E42" i="2"/>
  <c r="E44" i="2" s="1"/>
  <c r="G42" i="2"/>
  <c r="G44" i="2" s="1"/>
  <c r="H42" i="2"/>
  <c r="H44" i="2" s="1"/>
  <c r="I42" i="2"/>
  <c r="I44" i="2" s="1"/>
  <c r="D53" i="2"/>
  <c r="E53" i="2"/>
  <c r="H53" i="2"/>
  <c r="J53" i="2"/>
  <c r="K53" i="2"/>
  <c r="D54" i="2"/>
  <c r="D56" i="2"/>
  <c r="E54" i="2"/>
  <c r="E56" i="2"/>
  <c r="F54" i="2"/>
  <c r="F56" i="2" s="1"/>
  <c r="H54" i="2"/>
  <c r="H56" i="2" s="1"/>
  <c r="I54" i="2"/>
  <c r="I56" i="2" s="1"/>
  <c r="J54" i="2"/>
  <c r="J56" i="2" s="1"/>
  <c r="D60" i="2"/>
  <c r="E60" i="2"/>
  <c r="F60" i="2"/>
  <c r="I60" i="2"/>
  <c r="J60" i="2"/>
  <c r="K60" i="2"/>
  <c r="L60" i="2"/>
  <c r="D61" i="2"/>
  <c r="D63" i="2" s="1"/>
  <c r="E61" i="2"/>
  <c r="E63" i="2" s="1"/>
  <c r="F61" i="2"/>
  <c r="H61" i="2"/>
  <c r="H63" i="2" s="1"/>
  <c r="I61" i="2"/>
  <c r="I63" i="2" s="1"/>
  <c r="J61" i="2"/>
  <c r="K61" i="2"/>
  <c r="L61" i="2"/>
  <c r="M61" i="2"/>
  <c r="N61" i="2"/>
  <c r="D67" i="2"/>
  <c r="E67" i="2"/>
  <c r="H67" i="2"/>
  <c r="I67" i="2"/>
  <c r="J67" i="2"/>
  <c r="K67" i="2"/>
  <c r="L67" i="2"/>
  <c r="M67" i="2"/>
  <c r="E68" i="2"/>
  <c r="E70" i="2" s="1"/>
  <c r="I68" i="2"/>
  <c r="I70" i="2"/>
  <c r="J68" i="2"/>
  <c r="K68" i="2"/>
  <c r="L68" i="2"/>
  <c r="L70" i="2" s="1"/>
  <c r="M68" i="2"/>
  <c r="M70" i="2" s="1"/>
  <c r="D73" i="2"/>
  <c r="E73" i="2"/>
  <c r="E82" i="2" s="1"/>
  <c r="I73" i="2"/>
  <c r="I82" i="2" s="1"/>
  <c r="K73" i="2"/>
  <c r="K82" i="2" s="1"/>
  <c r="D74" i="2"/>
  <c r="I74" i="2"/>
  <c r="J74" i="2"/>
  <c r="K74" i="2"/>
  <c r="L74" i="2"/>
  <c r="M74" i="2"/>
  <c r="E78" i="2"/>
  <c r="F78" i="2"/>
  <c r="G78" i="2"/>
  <c r="H78" i="2"/>
  <c r="I78" i="2"/>
  <c r="J78" i="2"/>
  <c r="K78" i="2"/>
  <c r="D79" i="2"/>
  <c r="E79" i="2"/>
  <c r="E81" i="2"/>
  <c r="F79" i="2"/>
  <c r="F81" i="2" s="1"/>
  <c r="G79" i="2"/>
  <c r="G81" i="2" s="1"/>
  <c r="H79" i="2"/>
  <c r="H81" i="2" s="1"/>
  <c r="I79" i="2"/>
  <c r="I81" i="2"/>
  <c r="B88" i="2"/>
  <c r="B92" i="2" s="1"/>
  <c r="C12" i="36" s="1"/>
  <c r="D88" i="2"/>
  <c r="D92" i="2" s="1"/>
  <c r="D12" i="36" s="1"/>
  <c r="F88" i="2"/>
  <c r="F92" i="2" s="1"/>
  <c r="F12" i="36" s="1"/>
  <c r="G88" i="2"/>
  <c r="G92" i="2" s="1"/>
  <c r="G12" i="36" s="1"/>
  <c r="H88" i="2"/>
  <c r="H92" i="2"/>
  <c r="H12" i="36" s="1"/>
  <c r="I88" i="2"/>
  <c r="I92" i="2" s="1"/>
  <c r="M88" i="2"/>
  <c r="M92" i="2" s="1"/>
  <c r="M12" i="36" s="1"/>
  <c r="B89" i="2"/>
  <c r="D89" i="2"/>
  <c r="G89" i="2"/>
  <c r="H89" i="2"/>
  <c r="I89" i="2"/>
  <c r="P8" i="10"/>
  <c r="D15" i="10"/>
  <c r="H15" i="10"/>
  <c r="I15" i="10"/>
  <c r="L15" i="10"/>
  <c r="D16" i="10"/>
  <c r="E16" i="10"/>
  <c r="H16" i="10"/>
  <c r="H18" i="10" s="1"/>
  <c r="I16" i="10"/>
  <c r="I18" i="10" s="1"/>
  <c r="K16" i="10"/>
  <c r="L16" i="10"/>
  <c r="M16" i="10"/>
  <c r="N16" i="10"/>
  <c r="N18" i="10" s="1"/>
  <c r="K18" i="10"/>
  <c r="I22" i="10"/>
  <c r="D23" i="10"/>
  <c r="E23" i="10"/>
  <c r="E25" i="10" s="1"/>
  <c r="L23" i="10"/>
  <c r="M23" i="10"/>
  <c r="N23" i="10"/>
  <c r="N29" i="10"/>
  <c r="D30" i="10"/>
  <c r="D32" i="10"/>
  <c r="E30" i="10"/>
  <c r="F30" i="10"/>
  <c r="I30" i="10"/>
  <c r="I32" i="10" s="1"/>
  <c r="J30" i="10"/>
  <c r="J32" i="10" s="1"/>
  <c r="K30" i="10"/>
  <c r="K32" i="10" s="1"/>
  <c r="L30" i="10"/>
  <c r="M30" i="10"/>
  <c r="N30" i="10"/>
  <c r="I36" i="10"/>
  <c r="K36" i="10"/>
  <c r="D37" i="10"/>
  <c r="E37" i="10"/>
  <c r="L37" i="10"/>
  <c r="M37" i="10"/>
  <c r="N37" i="10"/>
  <c r="N39" i="10" s="1"/>
  <c r="D48" i="10"/>
  <c r="G48" i="10"/>
  <c r="H48" i="10"/>
  <c r="I48" i="10"/>
  <c r="J48" i="10"/>
  <c r="K48" i="10"/>
  <c r="L48" i="10"/>
  <c r="M48" i="10"/>
  <c r="N48" i="10"/>
  <c r="D49" i="10"/>
  <c r="E49" i="10"/>
  <c r="F49" i="10"/>
  <c r="G49" i="10"/>
  <c r="H49" i="10"/>
  <c r="I49" i="10"/>
  <c r="J49" i="10"/>
  <c r="K49" i="10"/>
  <c r="L49" i="10"/>
  <c r="M49" i="10"/>
  <c r="N49" i="10"/>
  <c r="B58" i="10"/>
  <c r="B62" i="10" s="1"/>
  <c r="D58" i="10"/>
  <c r="D11" i="36" s="1"/>
  <c r="E58" i="10"/>
  <c r="E62" i="10" s="1"/>
  <c r="G58" i="10"/>
  <c r="G11" i="36" s="1"/>
  <c r="H58" i="10"/>
  <c r="H11" i="36" s="1"/>
  <c r="I58" i="10"/>
  <c r="I11" i="36" s="1"/>
  <c r="J58" i="10"/>
  <c r="J11" i="36" s="1"/>
  <c r="K58" i="10"/>
  <c r="K11" i="36" s="1"/>
  <c r="L58" i="10"/>
  <c r="L62" i="10" s="1"/>
  <c r="M58" i="10"/>
  <c r="M62" i="10"/>
  <c r="N58" i="10"/>
  <c r="N62" i="10" s="1"/>
  <c r="B59" i="10"/>
  <c r="D59" i="10"/>
  <c r="E59" i="10"/>
  <c r="F59" i="10"/>
  <c r="G59" i="10"/>
  <c r="H59" i="10"/>
  <c r="I59" i="10"/>
  <c r="J59" i="10"/>
  <c r="K59" i="10"/>
  <c r="L59" i="10"/>
  <c r="M59" i="10"/>
  <c r="N59" i="10"/>
  <c r="P8" i="14"/>
  <c r="B15" i="14"/>
  <c r="I15" i="14"/>
  <c r="L16" i="14"/>
  <c r="M16" i="14"/>
  <c r="N16" i="14"/>
  <c r="N18" i="14" s="1"/>
  <c r="B22" i="14"/>
  <c r="F22" i="14"/>
  <c r="J22" i="14"/>
  <c r="K22" i="14"/>
  <c r="N22" i="14"/>
  <c r="B23" i="14"/>
  <c r="B25" i="14" s="1"/>
  <c r="D23" i="14"/>
  <c r="E23" i="14"/>
  <c r="J23" i="14"/>
  <c r="J25" i="14"/>
  <c r="K23" i="14"/>
  <c r="K25" i="14" s="1"/>
  <c r="L23" i="14"/>
  <c r="L25" i="14" s="1"/>
  <c r="M23" i="14"/>
  <c r="N23" i="14"/>
  <c r="B29" i="14"/>
  <c r="B34" i="14"/>
  <c r="D34" i="14"/>
  <c r="E34" i="14"/>
  <c r="G34" i="14"/>
  <c r="H34" i="14"/>
  <c r="I34" i="14"/>
  <c r="J34" i="14"/>
  <c r="B35" i="14"/>
  <c r="D35" i="14"/>
  <c r="D37" i="14" s="1"/>
  <c r="E35" i="14"/>
  <c r="E37" i="14"/>
  <c r="F35" i="14"/>
  <c r="F37" i="14" s="1"/>
  <c r="G35" i="14"/>
  <c r="G37" i="14" s="1"/>
  <c r="H35" i="14"/>
  <c r="H37" i="14" s="1"/>
  <c r="I35" i="14"/>
  <c r="I37" i="14" s="1"/>
  <c r="J35" i="14"/>
  <c r="J37" i="14" s="1"/>
  <c r="K35" i="14"/>
  <c r="L35" i="14"/>
  <c r="B44" i="14"/>
  <c r="C10" i="36" s="1"/>
  <c r="D44" i="14"/>
  <c r="E44" i="14"/>
  <c r="E48" i="14" s="1"/>
  <c r="E49" i="14" s="1"/>
  <c r="F44" i="14"/>
  <c r="F48" i="14" s="1"/>
  <c r="F49" i="14" s="1"/>
  <c r="G44" i="14"/>
  <c r="G48" i="14" s="1"/>
  <c r="H44" i="14"/>
  <c r="I44" i="14"/>
  <c r="I10" i="36" s="1"/>
  <c r="J44" i="14"/>
  <c r="J48" i="14" s="1"/>
  <c r="J49" i="14" s="1"/>
  <c r="B45" i="14"/>
  <c r="D45" i="14"/>
  <c r="G45" i="14"/>
  <c r="H45" i="14"/>
  <c r="I45" i="14"/>
  <c r="J45" i="14"/>
  <c r="K45" i="14"/>
  <c r="L45" i="14"/>
  <c r="M45" i="14"/>
  <c r="N45" i="14"/>
  <c r="H15" i="28"/>
  <c r="I15" i="28"/>
  <c r="J15" i="28"/>
  <c r="N15" i="28"/>
  <c r="H16" i="28"/>
  <c r="H18" i="28" s="1"/>
  <c r="I16" i="28"/>
  <c r="I18" i="28" s="1"/>
  <c r="J16" i="28"/>
  <c r="J18" i="28" s="1"/>
  <c r="K16" i="28"/>
  <c r="L16" i="28"/>
  <c r="M16" i="28"/>
  <c r="M18" i="28" s="1"/>
  <c r="N16" i="28"/>
  <c r="N18" i="28" s="1"/>
  <c r="L22" i="28"/>
  <c r="M22" i="28"/>
  <c r="N22" i="28"/>
  <c r="I23" i="28"/>
  <c r="I25" i="28" s="1"/>
  <c r="J23" i="28"/>
  <c r="K23" i="28"/>
  <c r="L23" i="28"/>
  <c r="L25" i="28" s="1"/>
  <c r="M23" i="28"/>
  <c r="M25" i="28" s="1"/>
  <c r="N23" i="28"/>
  <c r="N25" i="28" s="1"/>
  <c r="C29" i="28"/>
  <c r="D29" i="28"/>
  <c r="E29" i="28"/>
  <c r="H29" i="28"/>
  <c r="I29" i="28"/>
  <c r="K29" i="28"/>
  <c r="L29" i="28"/>
  <c r="M29" i="28"/>
  <c r="E30" i="28"/>
  <c r="E32" i="28" s="1"/>
  <c r="F30" i="28"/>
  <c r="H30" i="28"/>
  <c r="I30" i="28"/>
  <c r="J30" i="28"/>
  <c r="K30" i="28"/>
  <c r="K32" i="28" s="1"/>
  <c r="L30" i="28"/>
  <c r="L32" i="28" s="1"/>
  <c r="M30" i="28"/>
  <c r="M32" i="28" s="1"/>
  <c r="N30" i="28"/>
  <c r="N32" i="28" s="1"/>
  <c r="H36" i="28"/>
  <c r="I36" i="28"/>
  <c r="J36" i="28"/>
  <c r="K36" i="28"/>
  <c r="L36" i="28"/>
  <c r="M36" i="28"/>
  <c r="N36" i="28"/>
  <c r="H37" i="28"/>
  <c r="I37" i="28"/>
  <c r="I39" i="28" s="1"/>
  <c r="J37" i="28"/>
  <c r="J39" i="28" s="1"/>
  <c r="K37" i="28"/>
  <c r="K39" i="28" s="1"/>
  <c r="L37" i="28"/>
  <c r="L39" i="28" s="1"/>
  <c r="M37" i="28"/>
  <c r="M39" i="28" s="1"/>
  <c r="N37" i="28"/>
  <c r="N39" i="28" s="1"/>
  <c r="I43" i="28"/>
  <c r="J43" i="28"/>
  <c r="K43" i="28"/>
  <c r="L43" i="28"/>
  <c r="M43" i="28"/>
  <c r="N43" i="28"/>
  <c r="K44" i="28"/>
  <c r="K46" i="28" s="1"/>
  <c r="L44" i="28"/>
  <c r="L46" i="28" s="1"/>
  <c r="M44" i="28"/>
  <c r="M46" i="28" s="1"/>
  <c r="C50" i="28"/>
  <c r="C59" i="28" s="1"/>
  <c r="C55" i="28"/>
  <c r="D55" i="28"/>
  <c r="E55" i="28"/>
  <c r="F55" i="28"/>
  <c r="G55" i="28"/>
  <c r="H55" i="28"/>
  <c r="I55" i="28"/>
  <c r="J55" i="28"/>
  <c r="K55" i="28"/>
  <c r="L55" i="28"/>
  <c r="M55" i="28"/>
  <c r="N55" i="28"/>
  <c r="C56" i="28"/>
  <c r="D56" i="28"/>
  <c r="D58" i="28" s="1"/>
  <c r="E56" i="28"/>
  <c r="E58" i="28" s="1"/>
  <c r="F56" i="28"/>
  <c r="F58" i="28" s="1"/>
  <c r="G56" i="28"/>
  <c r="G58" i="28" s="1"/>
  <c r="H56" i="28"/>
  <c r="H58" i="28" s="1"/>
  <c r="I56" i="28"/>
  <c r="I58" i="28" s="1"/>
  <c r="J56" i="28"/>
  <c r="J58" i="28" s="1"/>
  <c r="K56" i="28"/>
  <c r="K58" i="28" s="1"/>
  <c r="L56" i="28"/>
  <c r="L58" i="28" s="1"/>
  <c r="N56" i="28"/>
  <c r="N58" i="28" s="1"/>
  <c r="C65" i="28"/>
  <c r="D65" i="28"/>
  <c r="D69" i="28" s="1"/>
  <c r="E65" i="28"/>
  <c r="E69" i="28" s="1"/>
  <c r="E70" i="28" s="1"/>
  <c r="F65" i="28"/>
  <c r="F21" i="36" s="1"/>
  <c r="G65" i="28"/>
  <c r="G69" i="28" s="1"/>
  <c r="G70" i="28" s="1"/>
  <c r="H65" i="28"/>
  <c r="H69" i="28"/>
  <c r="H70" i="28" s="1"/>
  <c r="I65" i="28"/>
  <c r="I21" i="36" s="1"/>
  <c r="J65" i="28"/>
  <c r="J69" i="28" s="1"/>
  <c r="J70" i="28" s="1"/>
  <c r="J21" i="36"/>
  <c r="K65" i="28"/>
  <c r="K21" i="36" s="1"/>
  <c r="L65" i="28"/>
  <c r="L21" i="36" s="1"/>
  <c r="M65" i="28"/>
  <c r="M21" i="36"/>
  <c r="N65" i="28"/>
  <c r="N21" i="36" s="1"/>
  <c r="C66" i="28"/>
  <c r="D66" i="28"/>
  <c r="E66" i="28"/>
  <c r="F66" i="28"/>
  <c r="G66" i="28"/>
  <c r="H66" i="28"/>
  <c r="I66" i="28"/>
  <c r="J66" i="28"/>
  <c r="K66" i="28"/>
  <c r="L66" i="28"/>
  <c r="N66" i="28"/>
  <c r="N8" i="38"/>
  <c r="O8" i="38" s="1"/>
  <c r="B10" i="38"/>
  <c r="D10" i="38"/>
  <c r="E10" i="38"/>
  <c r="G10" i="38"/>
  <c r="H10" i="38"/>
  <c r="I10" i="38"/>
  <c r="J10" i="38"/>
  <c r="B11" i="38"/>
  <c r="C11" i="38"/>
  <c r="D11" i="38"/>
  <c r="F11" i="38"/>
  <c r="B12" i="38"/>
  <c r="C12" i="38"/>
  <c r="D12" i="38"/>
  <c r="E12" i="38"/>
  <c r="F12" i="38"/>
  <c r="I12" i="38"/>
  <c r="J12" i="38"/>
  <c r="K12" i="38"/>
  <c r="B13" i="38"/>
  <c r="C13" i="38"/>
  <c r="F13" i="38"/>
  <c r="H13" i="38"/>
  <c r="I13" i="38"/>
  <c r="J13" i="38"/>
  <c r="K13" i="38"/>
  <c r="B14" i="38"/>
  <c r="C14" i="38"/>
  <c r="D14" i="38"/>
  <c r="F14" i="38"/>
  <c r="G14" i="38"/>
  <c r="H14" i="38"/>
  <c r="I14" i="38"/>
  <c r="B15" i="38"/>
  <c r="C15" i="38"/>
  <c r="D15" i="38"/>
  <c r="E15" i="38"/>
  <c r="F15" i="38"/>
  <c r="G15" i="38"/>
  <c r="K15" i="38"/>
  <c r="L15" i="38"/>
  <c r="B16" i="38"/>
  <c r="C16" i="38"/>
  <c r="D16" i="38"/>
  <c r="E16" i="38"/>
  <c r="G16" i="38"/>
  <c r="H16" i="38"/>
  <c r="I16" i="38"/>
  <c r="J16" i="38"/>
  <c r="K16" i="38"/>
  <c r="L16" i="38"/>
  <c r="B17" i="38"/>
  <c r="C17" i="38"/>
  <c r="D17" i="38"/>
  <c r="E17" i="38"/>
  <c r="F17" i="38"/>
  <c r="G17" i="38"/>
  <c r="H17" i="38"/>
  <c r="I17" i="38"/>
  <c r="J17" i="38"/>
  <c r="K17" i="38"/>
  <c r="L17" i="38"/>
  <c r="M17" i="38"/>
  <c r="B18" i="38"/>
  <c r="C18" i="38"/>
  <c r="E18" i="38"/>
  <c r="F18" i="38"/>
  <c r="G18" i="38"/>
  <c r="H18" i="38"/>
  <c r="I18" i="38"/>
  <c r="J18" i="38"/>
  <c r="K18" i="38"/>
  <c r="D19" i="38"/>
  <c r="E19" i="38"/>
  <c r="F19" i="38"/>
  <c r="G19" i="38"/>
  <c r="H19" i="38"/>
  <c r="I19" i="38"/>
  <c r="B20" i="38"/>
  <c r="C20" i="38"/>
  <c r="D20" i="38"/>
  <c r="E20" i="38"/>
  <c r="G20" i="38"/>
  <c r="H20" i="38"/>
  <c r="I20" i="38"/>
  <c r="J20" i="38"/>
  <c r="K20" i="38"/>
  <c r="M20" i="38"/>
  <c r="B21" i="38"/>
  <c r="C21" i="38"/>
  <c r="D21" i="38"/>
  <c r="F21" i="38"/>
  <c r="G21" i="38"/>
  <c r="H21" i="38"/>
  <c r="I21" i="38"/>
  <c r="J21" i="38"/>
  <c r="K21" i="38"/>
  <c r="L21" i="38"/>
  <c r="B23" i="38"/>
  <c r="C23" i="38"/>
  <c r="D23" i="38"/>
  <c r="J23" i="38"/>
  <c r="K23" i="38"/>
  <c r="L23" i="38"/>
  <c r="B24" i="38"/>
  <c r="C24" i="38"/>
  <c r="D24" i="38"/>
  <c r="F24" i="38"/>
  <c r="G24" i="38"/>
  <c r="H24" i="38"/>
  <c r="I24" i="38"/>
  <c r="J24" i="38"/>
  <c r="K24" i="38"/>
  <c r="L24" i="38"/>
  <c r="B25" i="38"/>
  <c r="C25" i="38"/>
  <c r="D25" i="38"/>
  <c r="E25" i="38"/>
  <c r="F25" i="38"/>
  <c r="G25" i="38"/>
  <c r="H25" i="38"/>
  <c r="I25" i="38"/>
  <c r="B26" i="38"/>
  <c r="C26" i="38"/>
  <c r="D26" i="38"/>
  <c r="E26" i="38"/>
  <c r="F26" i="38"/>
  <c r="G26" i="38"/>
  <c r="H26" i="38"/>
  <c r="J26" i="38"/>
  <c r="B27" i="38"/>
  <c r="C27" i="38"/>
  <c r="D27" i="38"/>
  <c r="E27" i="38"/>
  <c r="G27" i="38"/>
  <c r="H27" i="38"/>
  <c r="I27" i="38"/>
  <c r="J27" i="38"/>
  <c r="K27" i="38"/>
  <c r="L27" i="38"/>
  <c r="B28" i="38"/>
  <c r="E28" i="38"/>
  <c r="G28" i="38"/>
  <c r="H28" i="38"/>
  <c r="I28" i="38"/>
  <c r="J28" i="38"/>
  <c r="B29" i="38"/>
  <c r="F29" i="38"/>
  <c r="G29" i="38"/>
  <c r="H29" i="38"/>
  <c r="I29" i="38"/>
  <c r="J29" i="38"/>
  <c r="K29" i="38"/>
  <c r="L29" i="38"/>
  <c r="M29" i="38"/>
  <c r="B30" i="38"/>
  <c r="C30" i="38"/>
  <c r="D30" i="38"/>
  <c r="E30" i="38"/>
  <c r="F30" i="38"/>
  <c r="G30" i="38"/>
  <c r="H30" i="38"/>
  <c r="I30" i="38"/>
  <c r="J30" i="38"/>
  <c r="K30" i="38"/>
  <c r="B31" i="38"/>
  <c r="C31" i="38"/>
  <c r="D31" i="38"/>
  <c r="E31" i="38"/>
  <c r="F31" i="38"/>
  <c r="G31" i="38"/>
  <c r="H31" i="38"/>
  <c r="I31" i="38"/>
  <c r="J31" i="38"/>
  <c r="K31" i="38"/>
  <c r="L31" i="38"/>
  <c r="M31" i="38"/>
  <c r="B32" i="38"/>
  <c r="D32" i="38"/>
  <c r="H32" i="38"/>
  <c r="I32" i="38"/>
  <c r="J32" i="38"/>
  <c r="L32" i="38"/>
  <c r="M32" i="38"/>
  <c r="B33" i="38"/>
  <c r="C33" i="38"/>
  <c r="D33" i="38"/>
  <c r="E33" i="38"/>
  <c r="F33" i="38"/>
  <c r="G33" i="38"/>
  <c r="H33" i="38"/>
  <c r="I33" i="38"/>
  <c r="J33" i="38"/>
  <c r="K33" i="38"/>
  <c r="L33" i="38"/>
  <c r="M33" i="38"/>
  <c r="B34" i="38"/>
  <c r="D34" i="38"/>
  <c r="E34" i="38"/>
  <c r="F34" i="38"/>
  <c r="G34" i="38"/>
  <c r="H34" i="38"/>
  <c r="I34" i="38"/>
  <c r="J34" i="38"/>
  <c r="L34" i="38"/>
  <c r="M34" i="38"/>
  <c r="O8" i="36"/>
  <c r="P8" i="36" s="1"/>
  <c r="E10" i="36"/>
  <c r="E17" i="36"/>
  <c r="H17" i="36"/>
  <c r="C18" i="36"/>
  <c r="H18" i="36"/>
  <c r="G20" i="36"/>
  <c r="E21" i="36"/>
  <c r="H22" i="36"/>
  <c r="K22" i="36"/>
  <c r="L22" i="36"/>
  <c r="C23" i="36"/>
  <c r="D23" i="36"/>
  <c r="J23" i="36"/>
  <c r="C25" i="36"/>
  <c r="D25" i="36"/>
  <c r="E25" i="36"/>
  <c r="F25" i="36"/>
  <c r="G25" i="36"/>
  <c r="H25" i="36"/>
  <c r="I25" i="36"/>
  <c r="J25" i="36"/>
  <c r="K25" i="36"/>
  <c r="L25" i="36"/>
  <c r="M25" i="36"/>
  <c r="N25" i="36"/>
  <c r="S7" i="47"/>
  <c r="T7" i="47"/>
  <c r="AA12" i="47"/>
  <c r="AB12" i="47"/>
  <c r="S8" i="47"/>
  <c r="T8" i="47"/>
  <c r="AA7" i="47"/>
  <c r="AB7" i="47"/>
  <c r="S9" i="47"/>
  <c r="T9" i="47"/>
  <c r="AA11" i="47"/>
  <c r="AB11" i="47"/>
  <c r="S10" i="47"/>
  <c r="T10" i="47"/>
  <c r="AA13" i="47"/>
  <c r="AB13" i="47"/>
  <c r="S11" i="47"/>
  <c r="T11" i="47"/>
  <c r="AA8" i="47"/>
  <c r="AB8" i="47"/>
  <c r="S12" i="47"/>
  <c r="T12" i="47"/>
  <c r="AA9" i="47"/>
  <c r="AB9" i="47"/>
  <c r="S13" i="47"/>
  <c r="T13" i="47"/>
  <c r="AA10" i="47"/>
  <c r="AB10" i="47"/>
  <c r="S14" i="47"/>
  <c r="T14" i="47"/>
  <c r="AA16" i="47"/>
  <c r="AB16" i="47"/>
  <c r="S15" i="47"/>
  <c r="T15" i="47"/>
  <c r="AA19" i="47"/>
  <c r="AB19" i="47"/>
  <c r="S16" i="47"/>
  <c r="T16" i="47"/>
  <c r="AA21" i="47"/>
  <c r="AB21" i="47"/>
  <c r="S17" i="47"/>
  <c r="T17" i="47"/>
  <c r="AA18" i="47"/>
  <c r="AB18" i="47"/>
  <c r="S18" i="47"/>
  <c r="T18" i="47"/>
  <c r="AA20" i="47"/>
  <c r="AB20" i="47"/>
  <c r="P19" i="47"/>
  <c r="T19" i="47" s="1"/>
  <c r="S19" i="47"/>
  <c r="AA22" i="47"/>
  <c r="AB22" i="47"/>
  <c r="S20" i="47"/>
  <c r="T20" i="47"/>
  <c r="AA14" i="47"/>
  <c r="AB14" i="47"/>
  <c r="S21" i="47"/>
  <c r="T21" i="47"/>
  <c r="X17" i="47"/>
  <c r="AB17" i="47" s="1"/>
  <c r="AA17" i="47"/>
  <c r="S22" i="47"/>
  <c r="T22" i="47"/>
  <c r="AA15" i="47"/>
  <c r="AB15" i="47"/>
  <c r="S23" i="47"/>
  <c r="T23" i="47"/>
  <c r="AA23" i="47"/>
  <c r="AB23" i="47"/>
  <c r="S24" i="47"/>
  <c r="T24" i="47"/>
  <c r="AA25" i="47"/>
  <c r="AB25" i="47"/>
  <c r="S25" i="47"/>
  <c r="T25" i="47"/>
  <c r="AA28" i="47"/>
  <c r="AB28" i="47"/>
  <c r="S26" i="47"/>
  <c r="T26" i="47"/>
  <c r="AA24" i="47"/>
  <c r="AB24" i="47"/>
  <c r="S27" i="47"/>
  <c r="T27" i="47"/>
  <c r="AA29" i="47"/>
  <c r="AB29" i="47"/>
  <c r="S28" i="47"/>
  <c r="T28" i="47"/>
  <c r="AA26" i="47"/>
  <c r="AB26" i="47"/>
  <c r="S29" i="47"/>
  <c r="T29" i="47"/>
  <c r="AA27" i="47"/>
  <c r="AB27" i="47"/>
  <c r="S30" i="47"/>
  <c r="T30" i="47"/>
  <c r="AA30" i="47"/>
  <c r="AB30" i="47"/>
  <c r="S31" i="47"/>
  <c r="T31" i="47"/>
  <c r="AA31" i="47"/>
  <c r="AB31" i="47"/>
  <c r="S32" i="47"/>
  <c r="T32" i="47"/>
  <c r="AA32" i="47"/>
  <c r="AB32" i="47"/>
  <c r="S38" i="47"/>
  <c r="T38" i="47"/>
  <c r="S39" i="47"/>
  <c r="T39" i="47"/>
  <c r="S40" i="47"/>
  <c r="T40" i="47"/>
  <c r="S41" i="47"/>
  <c r="T41" i="47"/>
  <c r="I18" i="36"/>
  <c r="I27" i="6"/>
  <c r="J48" i="43"/>
  <c r="I35" i="38" s="1"/>
  <c r="H21" i="36"/>
  <c r="J44" i="30"/>
  <c r="J67" i="30"/>
  <c r="K59" i="30"/>
  <c r="J52" i="30"/>
  <c r="F52" i="30"/>
  <c r="F22" i="36"/>
  <c r="F79" i="30"/>
  <c r="H48" i="33"/>
  <c r="L35" i="38"/>
  <c r="L48" i="43"/>
  <c r="F38" i="43"/>
  <c r="B48" i="14"/>
  <c r="B49" i="14" s="1"/>
  <c r="P8" i="28"/>
  <c r="L69" i="28"/>
  <c r="L70" i="28" s="1"/>
  <c r="F69" i="28"/>
  <c r="F70" i="28" s="1"/>
  <c r="K27" i="6"/>
  <c r="K37" i="6"/>
  <c r="P25" i="6"/>
  <c r="Q25" i="6" s="1"/>
  <c r="H15" i="38"/>
  <c r="J15" i="38"/>
  <c r="I30" i="6"/>
  <c r="P8" i="11"/>
  <c r="P8" i="8"/>
  <c r="B50" i="23"/>
  <c r="B51" i="23"/>
  <c r="C79" i="30"/>
  <c r="D22" i="36"/>
  <c r="I63" i="30"/>
  <c r="I58" i="30"/>
  <c r="I67" i="30" s="1"/>
  <c r="I59" i="30"/>
  <c r="I53" i="30"/>
  <c r="I55" i="30"/>
  <c r="J64" i="30"/>
  <c r="J66" i="30" s="1"/>
  <c r="C63" i="30"/>
  <c r="H52" i="30"/>
  <c r="C48" i="42"/>
  <c r="C49" i="42" s="1"/>
  <c r="P8" i="41"/>
  <c r="C76" i="7"/>
  <c r="C77" i="7" s="1"/>
  <c r="I51" i="23"/>
  <c r="H51" i="23"/>
  <c r="P8" i="21"/>
  <c r="D62" i="26"/>
  <c r="D63" i="26" s="1"/>
  <c r="E79" i="30"/>
  <c r="I22" i="36"/>
  <c r="M48" i="42"/>
  <c r="M49" i="42" s="1"/>
  <c r="M24" i="36"/>
  <c r="H48" i="42"/>
  <c r="H24" i="36" s="1"/>
  <c r="E23" i="36"/>
  <c r="K17" i="36"/>
  <c r="K41" i="6"/>
  <c r="K42" i="6"/>
  <c r="M69" i="28"/>
  <c r="M70" i="28" s="1"/>
  <c r="Q38" i="38"/>
  <c r="G17" i="36"/>
  <c r="G62" i="10"/>
  <c r="G63" i="10" s="1"/>
  <c r="L63" i="10"/>
  <c r="N69" i="28"/>
  <c r="N70" i="28" s="1"/>
  <c r="D21" i="36"/>
  <c r="C63" i="8"/>
  <c r="C42" i="6"/>
  <c r="H49" i="42"/>
  <c r="R85" i="40"/>
  <c r="B49" i="42"/>
  <c r="N49" i="43"/>
  <c r="M35" i="38"/>
  <c r="B35" i="38"/>
  <c r="B49" i="43"/>
  <c r="H49" i="43"/>
  <c r="K49" i="43"/>
  <c r="C56" i="24"/>
  <c r="C87" i="4"/>
  <c r="D49" i="43"/>
  <c r="K40" i="50"/>
  <c r="K8" i="50"/>
  <c r="K16" i="50"/>
  <c r="K38" i="50"/>
  <c r="E13" i="36"/>
  <c r="G52" i="43"/>
  <c r="D35" i="38"/>
  <c r="E35" i="38"/>
  <c r="F49" i="43"/>
  <c r="B67" i="30"/>
  <c r="B44" i="30"/>
  <c r="B93" i="2"/>
  <c r="B65" i="21"/>
  <c r="B66" i="21" s="1"/>
  <c r="F65" i="21"/>
  <c r="F66" i="21" s="1"/>
  <c r="G101" i="11"/>
  <c r="P22" i="11"/>
  <c r="P24" i="11" s="1"/>
  <c r="F10" i="36"/>
  <c r="P72" i="4"/>
  <c r="P74" i="4" s="1"/>
  <c r="B78" i="4" s="1"/>
  <c r="G90" i="4"/>
  <c r="B79" i="30"/>
  <c r="O37" i="7" l="1"/>
  <c r="P37" i="7"/>
  <c r="J54" i="40"/>
  <c r="G119" i="41"/>
  <c r="P21" i="42"/>
  <c r="G18" i="28"/>
  <c r="G73" i="2"/>
  <c r="G82" i="2" s="1"/>
  <c r="P14" i="26"/>
  <c r="P21" i="23"/>
  <c r="G67" i="12"/>
  <c r="O14" i="43"/>
  <c r="P16" i="43" s="1"/>
  <c r="G53" i="4"/>
  <c r="G140" i="41"/>
  <c r="G60" i="4"/>
  <c r="O35" i="11"/>
  <c r="P37" i="11" s="1"/>
  <c r="P39" i="11" s="1"/>
  <c r="G29" i="26"/>
  <c r="G70" i="11"/>
  <c r="G68" i="2"/>
  <c r="G70" i="2" s="1"/>
  <c r="G63" i="2"/>
  <c r="G18" i="11"/>
  <c r="P35" i="7"/>
  <c r="G63" i="4"/>
  <c r="G52" i="30"/>
  <c r="O52" i="4"/>
  <c r="P54" i="4" s="1"/>
  <c r="P56" i="4" s="1"/>
  <c r="G148" i="41"/>
  <c r="G37" i="7"/>
  <c r="G39" i="7" s="1"/>
  <c r="P23" i="42"/>
  <c r="G22" i="28"/>
  <c r="G56" i="2"/>
  <c r="G15" i="11"/>
  <c r="G55" i="30"/>
  <c r="G53" i="2"/>
  <c r="G60" i="11"/>
  <c r="G77" i="41"/>
  <c r="G59" i="30"/>
  <c r="G30" i="30"/>
  <c r="G32" i="30" s="1"/>
  <c r="P14" i="14"/>
  <c r="G25" i="26"/>
  <c r="J23" i="40"/>
  <c r="G68" i="4"/>
  <c r="O68" i="4" s="1"/>
  <c r="G22" i="26"/>
  <c r="M29" i="8"/>
  <c r="G22" i="42"/>
  <c r="P39" i="7"/>
  <c r="G60" i="2"/>
  <c r="P60" i="2" s="1"/>
  <c r="P62" i="2" s="1"/>
  <c r="P25" i="42"/>
  <c r="G67" i="11"/>
  <c r="G30" i="33"/>
  <c r="J37" i="40"/>
  <c r="J32" i="40"/>
  <c r="R32" i="40" s="1"/>
  <c r="G25" i="10"/>
  <c r="G32" i="2"/>
  <c r="P13" i="42"/>
  <c r="G25" i="21"/>
  <c r="G22" i="2"/>
  <c r="G36" i="11"/>
  <c r="P36" i="11" s="1"/>
  <c r="P38" i="11" s="1"/>
  <c r="O35" i="28"/>
  <c r="P37" i="28" s="1"/>
  <c r="O30" i="30"/>
  <c r="P16" i="33"/>
  <c r="P20" i="43"/>
  <c r="P13" i="11"/>
  <c r="G29" i="11"/>
  <c r="P58" i="11"/>
  <c r="G63" i="11"/>
  <c r="O14" i="6"/>
  <c r="P16" i="6" s="1"/>
  <c r="P18" i="6" s="1"/>
  <c r="O14" i="7"/>
  <c r="O16" i="7" s="1"/>
  <c r="G15" i="7"/>
  <c r="G36" i="7"/>
  <c r="G36" i="21"/>
  <c r="G29" i="22"/>
  <c r="G29" i="43"/>
  <c r="G38" i="43" s="1"/>
  <c r="G127" i="41"/>
  <c r="G129" i="41" s="1"/>
  <c r="O21" i="30"/>
  <c r="P23" i="30" s="1"/>
  <c r="G22" i="14"/>
  <c r="P35" i="28"/>
  <c r="G15" i="43"/>
  <c r="G95" i="41"/>
  <c r="G18" i="14"/>
  <c r="G32" i="12"/>
  <c r="P27" i="11"/>
  <c r="P29" i="11" s="1"/>
  <c r="P31" i="11" s="1"/>
  <c r="G32" i="11"/>
  <c r="P13" i="7"/>
  <c r="G43" i="7"/>
  <c r="P43" i="7" s="1"/>
  <c r="P45" i="7" s="1"/>
  <c r="G102" i="41"/>
  <c r="G111" i="41" s="1"/>
  <c r="G81" i="41"/>
  <c r="G22" i="33"/>
  <c r="P22" i="33" s="1"/>
  <c r="P24" i="33" s="1"/>
  <c r="M29" i="26"/>
  <c r="G22" i="24"/>
  <c r="G22" i="43"/>
  <c r="O23" i="43"/>
  <c r="P21" i="24"/>
  <c r="J44" i="40"/>
  <c r="G22" i="11"/>
  <c r="O21" i="33"/>
  <c r="G84" i="41"/>
  <c r="G25" i="14"/>
  <c r="G25" i="2"/>
  <c r="G22" i="12"/>
  <c r="M29" i="12"/>
  <c r="P13" i="8"/>
  <c r="G25" i="11"/>
  <c r="M29" i="11"/>
  <c r="G39" i="11"/>
  <c r="P20" i="7"/>
  <c r="P25" i="7" s="1"/>
  <c r="G39" i="41"/>
  <c r="G103" i="41"/>
  <c r="G147" i="41"/>
  <c r="G156" i="41" s="1"/>
  <c r="G25" i="42"/>
  <c r="P13" i="43"/>
  <c r="G51" i="43" s="1"/>
  <c r="G53" i="43" s="1"/>
  <c r="N29" i="26"/>
  <c r="O34" i="23"/>
  <c r="P36" i="23" s="1"/>
  <c r="N38" i="23"/>
  <c r="K35" i="23"/>
  <c r="M39" i="23"/>
  <c r="N45" i="23"/>
  <c r="N50" i="23" s="1"/>
  <c r="N39" i="23"/>
  <c r="F38" i="23"/>
  <c r="P33" i="23"/>
  <c r="Q33" i="23" s="1"/>
  <c r="D51" i="23"/>
  <c r="L29" i="23"/>
  <c r="L39" i="23" s="1"/>
  <c r="H30" i="23"/>
  <c r="O43" i="40"/>
  <c r="G30" i="23"/>
  <c r="M22" i="23"/>
  <c r="G43" i="40"/>
  <c r="D29" i="23"/>
  <c r="D39" i="23" s="1"/>
  <c r="N22" i="23"/>
  <c r="B30" i="23"/>
  <c r="M25" i="23"/>
  <c r="D25" i="23"/>
  <c r="L25" i="23"/>
  <c r="F25" i="23"/>
  <c r="M16" i="23"/>
  <c r="M18" i="23" s="1"/>
  <c r="M15" i="23"/>
  <c r="J15" i="23"/>
  <c r="G46" i="23"/>
  <c r="O23" i="23"/>
  <c r="G36" i="23"/>
  <c r="G38" i="23" s="1"/>
  <c r="K29" i="23"/>
  <c r="K39" i="23" s="1"/>
  <c r="O36" i="23"/>
  <c r="O30" i="23"/>
  <c r="G25" i="23"/>
  <c r="K15" i="23"/>
  <c r="J43" i="40"/>
  <c r="P34" i="23"/>
  <c r="E29" i="23"/>
  <c r="E39" i="23" s="1"/>
  <c r="F51" i="23"/>
  <c r="E15" i="23"/>
  <c r="C18" i="23"/>
  <c r="I15" i="23"/>
  <c r="D18" i="23"/>
  <c r="H15" i="23"/>
  <c r="K16" i="23"/>
  <c r="K18" i="23" s="1"/>
  <c r="D30" i="23"/>
  <c r="J29" i="23"/>
  <c r="J39" i="23" s="1"/>
  <c r="B29" i="23"/>
  <c r="B39" i="23" s="1"/>
  <c r="C30" i="23"/>
  <c r="M42" i="40"/>
  <c r="I29" i="23"/>
  <c r="I39" i="23" s="1"/>
  <c r="P14" i="23"/>
  <c r="L42" i="40"/>
  <c r="B15" i="23"/>
  <c r="H29" i="23"/>
  <c r="H39" i="23" s="1"/>
  <c r="H18" i="23"/>
  <c r="P16" i="23"/>
  <c r="K42" i="40"/>
  <c r="B18" i="23"/>
  <c r="E30" i="23"/>
  <c r="H41" i="24"/>
  <c r="M51" i="24"/>
  <c r="M55" i="24" s="1"/>
  <c r="M56" i="24" s="1"/>
  <c r="C28" i="38"/>
  <c r="K28" i="38"/>
  <c r="G52" i="24"/>
  <c r="P40" i="24"/>
  <c r="M41" i="24"/>
  <c r="E51" i="24"/>
  <c r="E55" i="24" s="1"/>
  <c r="E56" i="24" s="1"/>
  <c r="L41" i="24"/>
  <c r="H52" i="24"/>
  <c r="D51" i="24"/>
  <c r="D55" i="24" s="1"/>
  <c r="D56" i="24" s="1"/>
  <c r="N44" i="24"/>
  <c r="E41" i="24"/>
  <c r="P39" i="24"/>
  <c r="H60" i="24" s="1"/>
  <c r="I52" i="24"/>
  <c r="N32" i="24"/>
  <c r="I37" i="24"/>
  <c r="E29" i="24"/>
  <c r="M36" i="24"/>
  <c r="M45" i="24" s="1"/>
  <c r="M29" i="24"/>
  <c r="D29" i="24"/>
  <c r="L36" i="24"/>
  <c r="L45" i="24" s="1"/>
  <c r="E36" i="24"/>
  <c r="E45" i="24" s="1"/>
  <c r="F29" i="24"/>
  <c r="N36" i="24"/>
  <c r="N45" i="24" s="1"/>
  <c r="N29" i="24"/>
  <c r="L29" i="24"/>
  <c r="H37" i="24"/>
  <c r="H36" i="24"/>
  <c r="H45" i="24" s="1"/>
  <c r="I23" i="24"/>
  <c r="E22" i="24"/>
  <c r="C37" i="24"/>
  <c r="K37" i="24"/>
  <c r="O21" i="24"/>
  <c r="P23" i="24" s="1"/>
  <c r="O69" i="40"/>
  <c r="R69" i="40" s="1"/>
  <c r="N22" i="24"/>
  <c r="F36" i="24"/>
  <c r="F45" i="24" s="1"/>
  <c r="L22" i="24"/>
  <c r="D22" i="24"/>
  <c r="D36" i="24"/>
  <c r="D45" i="24" s="1"/>
  <c r="F22" i="24"/>
  <c r="B37" i="24"/>
  <c r="C15" i="24"/>
  <c r="K36" i="24"/>
  <c r="K45" i="24" s="1"/>
  <c r="F16" i="24"/>
  <c r="O68" i="40"/>
  <c r="C18" i="24"/>
  <c r="N16" i="24"/>
  <c r="N18" i="24" s="1"/>
  <c r="H15" i="24"/>
  <c r="K16" i="24"/>
  <c r="F56" i="24"/>
  <c r="F28" i="38"/>
  <c r="P14" i="24"/>
  <c r="G36" i="24"/>
  <c r="G45" i="24" s="1"/>
  <c r="O42" i="24"/>
  <c r="P44" i="24"/>
  <c r="O14" i="24"/>
  <c r="P16" i="24" s="1"/>
  <c r="G51" i="24"/>
  <c r="G55" i="24" s="1"/>
  <c r="O23" i="24"/>
  <c r="P30" i="24"/>
  <c r="O30" i="24"/>
  <c r="P27" i="24"/>
  <c r="P20" i="24"/>
  <c r="P13" i="24"/>
  <c r="G15" i="24"/>
  <c r="G30" i="24"/>
  <c r="G29" i="24"/>
  <c r="G37" i="24"/>
  <c r="P28" i="24"/>
  <c r="N42" i="22"/>
  <c r="N44" i="22" s="1"/>
  <c r="M52" i="22"/>
  <c r="L42" i="22"/>
  <c r="L44" i="22" s="1"/>
  <c r="J45" i="22"/>
  <c r="M55" i="22"/>
  <c r="M56" i="22"/>
  <c r="N41" i="22"/>
  <c r="N51" i="22"/>
  <c r="P51" i="22" s="1"/>
  <c r="K56" i="22"/>
  <c r="E56" i="22"/>
  <c r="P39" i="22"/>
  <c r="H60" i="22" s="1"/>
  <c r="F44" i="22"/>
  <c r="G41" i="22"/>
  <c r="G44" i="22"/>
  <c r="D29" i="22"/>
  <c r="L29" i="22"/>
  <c r="M32" i="22"/>
  <c r="E32" i="22"/>
  <c r="P27" i="22"/>
  <c r="P29" i="22" s="1"/>
  <c r="P31" i="22" s="1"/>
  <c r="L32" i="22"/>
  <c r="M22" i="22"/>
  <c r="N25" i="22"/>
  <c r="P22" i="22"/>
  <c r="P24" i="22" s="1"/>
  <c r="F22" i="22"/>
  <c r="I36" i="22"/>
  <c r="E22" i="22"/>
  <c r="H82" i="40"/>
  <c r="F25" i="22"/>
  <c r="O82" i="40"/>
  <c r="G22" i="22"/>
  <c r="J36" i="22"/>
  <c r="O21" i="22"/>
  <c r="P23" i="22" s="1"/>
  <c r="P25" i="22" s="1"/>
  <c r="L25" i="22"/>
  <c r="D22" i="22"/>
  <c r="G23" i="22"/>
  <c r="G25" i="22" s="1"/>
  <c r="G82" i="40"/>
  <c r="M25" i="22"/>
  <c r="D25" i="22"/>
  <c r="H22" i="22"/>
  <c r="H18" i="22"/>
  <c r="J83" i="40"/>
  <c r="R83" i="40" s="1"/>
  <c r="M81" i="40"/>
  <c r="G32" i="22"/>
  <c r="H56" i="22"/>
  <c r="B56" i="22"/>
  <c r="P40" i="22"/>
  <c r="F36" i="22"/>
  <c r="O28" i="22"/>
  <c r="N16" i="22"/>
  <c r="E15" i="22"/>
  <c r="C35" i="22"/>
  <c r="C45" i="22" s="1"/>
  <c r="G18" i="22"/>
  <c r="J15" i="22"/>
  <c r="K15" i="22"/>
  <c r="F56" i="22"/>
  <c r="I18" i="22"/>
  <c r="P28" i="22"/>
  <c r="K35" i="22"/>
  <c r="K45" i="22" s="1"/>
  <c r="J18" i="22"/>
  <c r="G35" i="22"/>
  <c r="G45" i="22" s="1"/>
  <c r="O40" i="22"/>
  <c r="P42" i="22" s="1"/>
  <c r="E36" i="22"/>
  <c r="M16" i="22"/>
  <c r="M18" i="22" s="1"/>
  <c r="I56" i="22"/>
  <c r="D56" i="22"/>
  <c r="C18" i="22"/>
  <c r="K18" i="22"/>
  <c r="E35" i="22"/>
  <c r="E45" i="22" s="1"/>
  <c r="B15" i="22"/>
  <c r="B18" i="22"/>
  <c r="B36" i="22"/>
  <c r="N35" i="22"/>
  <c r="N45" i="22" s="1"/>
  <c r="L18" i="22"/>
  <c r="N18" i="22"/>
  <c r="K36" i="22"/>
  <c r="M35" i="22"/>
  <c r="M45" i="22" s="1"/>
  <c r="P14" i="22"/>
  <c r="P81" i="40"/>
  <c r="H36" i="22"/>
  <c r="L35" i="22"/>
  <c r="L45" i="22" s="1"/>
  <c r="E18" i="22"/>
  <c r="O14" i="22"/>
  <c r="O81" i="40"/>
  <c r="G81" i="40"/>
  <c r="G36" i="22"/>
  <c r="D18" i="22"/>
  <c r="P13" i="22"/>
  <c r="P15" i="22" s="1"/>
  <c r="P17" i="22" s="1"/>
  <c r="D35" i="22"/>
  <c r="D45" i="22" s="1"/>
  <c r="H15" i="22"/>
  <c r="H35" i="22"/>
  <c r="H45" i="22" s="1"/>
  <c r="F35" i="22"/>
  <c r="F45" i="22" s="1"/>
  <c r="O48" i="21"/>
  <c r="P50" i="21" s="1"/>
  <c r="P52" i="21" s="1"/>
  <c r="P47" i="21"/>
  <c r="H70" i="21" s="1"/>
  <c r="J66" i="21"/>
  <c r="I66" i="21"/>
  <c r="K66" i="21"/>
  <c r="N49" i="21"/>
  <c r="H52" i="21"/>
  <c r="N52" i="21"/>
  <c r="H53" i="21"/>
  <c r="H66" i="21"/>
  <c r="M52" i="21"/>
  <c r="O61" i="21"/>
  <c r="P48" i="21"/>
  <c r="F52" i="21"/>
  <c r="E66" i="21"/>
  <c r="C49" i="21"/>
  <c r="F49" i="21"/>
  <c r="C52" i="21"/>
  <c r="P34" i="21"/>
  <c r="O63" i="40"/>
  <c r="L39" i="21"/>
  <c r="M39" i="21"/>
  <c r="G63" i="40"/>
  <c r="R63" i="40" s="1"/>
  <c r="G37" i="21"/>
  <c r="G39" i="21" s="1"/>
  <c r="I43" i="21"/>
  <c r="I53" i="21" s="1"/>
  <c r="O35" i="21"/>
  <c r="F39" i="21"/>
  <c r="G29" i="21"/>
  <c r="H29" i="21"/>
  <c r="E29" i="21"/>
  <c r="M32" i="21"/>
  <c r="L30" i="21"/>
  <c r="L32" i="21" s="1"/>
  <c r="L62" i="40"/>
  <c r="P62" i="40"/>
  <c r="N29" i="21"/>
  <c r="C44" i="21"/>
  <c r="K44" i="21"/>
  <c r="D29" i="21"/>
  <c r="I44" i="21"/>
  <c r="F32" i="21"/>
  <c r="P28" i="21"/>
  <c r="D32" i="21"/>
  <c r="O28" i="21"/>
  <c r="K62" i="40"/>
  <c r="P27" i="21"/>
  <c r="J62" i="40"/>
  <c r="O62" i="40"/>
  <c r="E32" i="21"/>
  <c r="N32" i="21"/>
  <c r="P21" i="21"/>
  <c r="G61" i="40"/>
  <c r="R61" i="40" s="1"/>
  <c r="D43" i="21"/>
  <c r="D53" i="21" s="1"/>
  <c r="O21" i="21"/>
  <c r="E43" i="21"/>
  <c r="E53" i="21" s="1"/>
  <c r="D25" i="21"/>
  <c r="F43" i="21"/>
  <c r="F53" i="21" s="1"/>
  <c r="G22" i="21"/>
  <c r="B44" i="21"/>
  <c r="N22" i="21"/>
  <c r="F22" i="21"/>
  <c r="O61" i="40"/>
  <c r="L25" i="21"/>
  <c r="P20" i="21"/>
  <c r="C23" i="21"/>
  <c r="C25" i="21" s="1"/>
  <c r="N43" i="21"/>
  <c r="N53" i="21" s="1"/>
  <c r="H44" i="21"/>
  <c r="G44" i="21"/>
  <c r="M43" i="21"/>
  <c r="M53" i="21" s="1"/>
  <c r="E15" i="21"/>
  <c r="P60" i="40"/>
  <c r="H60" i="40"/>
  <c r="L43" i="21"/>
  <c r="L53" i="21" s="1"/>
  <c r="D15" i="21"/>
  <c r="O60" i="40"/>
  <c r="G60" i="40"/>
  <c r="P14" i="21"/>
  <c r="N18" i="21"/>
  <c r="O14" i="21"/>
  <c r="R60" i="40"/>
  <c r="D18" i="21"/>
  <c r="M18" i="21"/>
  <c r="L62" i="26"/>
  <c r="L63" i="26" s="1"/>
  <c r="L20" i="36"/>
  <c r="L48" i="26"/>
  <c r="J52" i="26"/>
  <c r="J63" i="26"/>
  <c r="J62" i="26"/>
  <c r="J51" i="26"/>
  <c r="I26" i="38"/>
  <c r="I20" i="36"/>
  <c r="N62" i="26"/>
  <c r="N63" i="26"/>
  <c r="N20" i="36"/>
  <c r="M26" i="38"/>
  <c r="H63" i="26"/>
  <c r="M63" i="26"/>
  <c r="M20" i="36"/>
  <c r="K26" i="38"/>
  <c r="N51" i="26"/>
  <c r="M51" i="26"/>
  <c r="H20" i="36"/>
  <c r="F48" i="26"/>
  <c r="O47" i="26"/>
  <c r="P49" i="26" s="1"/>
  <c r="P47" i="26"/>
  <c r="P46" i="26"/>
  <c r="G66" i="26" s="1"/>
  <c r="E58" i="26"/>
  <c r="F58" i="26"/>
  <c r="F52" i="26"/>
  <c r="H162" i="41"/>
  <c r="H167" i="41" s="1"/>
  <c r="H19" i="36" s="1"/>
  <c r="H29" i="41"/>
  <c r="F77" i="41"/>
  <c r="E162" i="41"/>
  <c r="M70" i="41"/>
  <c r="P24" i="40"/>
  <c r="N81" i="41"/>
  <c r="K98" i="41"/>
  <c r="D43" i="41"/>
  <c r="Q18" i="40"/>
  <c r="D102" i="41"/>
  <c r="C36" i="41"/>
  <c r="K136" i="41"/>
  <c r="J140" i="41"/>
  <c r="K133" i="41"/>
  <c r="N51" i="41"/>
  <c r="K18" i="41"/>
  <c r="K10" i="38"/>
  <c r="I175" i="41"/>
  <c r="J148" i="41"/>
  <c r="B147" i="41"/>
  <c r="B156" i="41" s="1"/>
  <c r="J133" i="41"/>
  <c r="F74" i="41"/>
  <c r="G68" i="41"/>
  <c r="G70" i="41" s="1"/>
  <c r="D46" i="41"/>
  <c r="N27" i="40"/>
  <c r="I22" i="40"/>
  <c r="C103" i="41"/>
  <c r="G22" i="41"/>
  <c r="I29" i="41"/>
  <c r="I39" i="41"/>
  <c r="L36" i="41"/>
  <c r="P42" i="41"/>
  <c r="B88" i="41"/>
  <c r="K55" i="41"/>
  <c r="M122" i="41"/>
  <c r="L140" i="41"/>
  <c r="J103" i="41"/>
  <c r="O54" i="41"/>
  <c r="P56" i="41" s="1"/>
  <c r="P58" i="41" s="1"/>
  <c r="M55" i="41"/>
  <c r="H156" i="41"/>
  <c r="G91" i="41"/>
  <c r="D58" i="41"/>
  <c r="K36" i="41"/>
  <c r="J22" i="40"/>
  <c r="N50" i="41"/>
  <c r="H175" i="41"/>
  <c r="I155" i="41"/>
  <c r="I148" i="41"/>
  <c r="K143" i="41"/>
  <c r="B129" i="41"/>
  <c r="D119" i="41"/>
  <c r="H108" i="41"/>
  <c r="H110" i="41" s="1"/>
  <c r="P106" i="41"/>
  <c r="E74" i="41"/>
  <c r="L46" i="41"/>
  <c r="B46" i="41"/>
  <c r="P22" i="40"/>
  <c r="H22" i="40"/>
  <c r="G67" i="41"/>
  <c r="G15" i="41"/>
  <c r="H22" i="41"/>
  <c r="B39" i="41"/>
  <c r="M36" i="41"/>
  <c r="C46" i="41"/>
  <c r="K46" i="41"/>
  <c r="H81" i="41"/>
  <c r="N98" i="41"/>
  <c r="N119" i="41"/>
  <c r="O28" i="40"/>
  <c r="B153" i="41"/>
  <c r="B155" i="41" s="1"/>
  <c r="O26" i="40"/>
  <c r="C18" i="41"/>
  <c r="B30" i="41"/>
  <c r="H11" i="38"/>
  <c r="H155" i="41"/>
  <c r="B103" i="41"/>
  <c r="B95" i="41"/>
  <c r="G88" i="41"/>
  <c r="F22" i="41"/>
  <c r="G22" i="40"/>
  <c r="F21" i="40"/>
  <c r="F51" i="41"/>
  <c r="C39" i="41"/>
  <c r="I50" i="41"/>
  <c r="I59" i="41" s="1"/>
  <c r="N95" i="41"/>
  <c r="M148" i="41"/>
  <c r="G11" i="38"/>
  <c r="I152" i="41"/>
  <c r="D70" i="41"/>
  <c r="L43" i="41"/>
  <c r="E18" i="41"/>
  <c r="B37" i="41"/>
  <c r="M18" i="41"/>
  <c r="L58" i="41"/>
  <c r="P34" i="41"/>
  <c r="G155" i="41"/>
  <c r="E88" i="41"/>
  <c r="K39" i="41"/>
  <c r="H111" i="41"/>
  <c r="C84" i="41"/>
  <c r="C153" i="41"/>
  <c r="C155" i="41" s="1"/>
  <c r="P20" i="41"/>
  <c r="P22" i="41" s="1"/>
  <c r="P24" i="41" s="1"/>
  <c r="G25" i="41"/>
  <c r="G12" i="38"/>
  <c r="E81" i="41"/>
  <c r="N25" i="41"/>
  <c r="H25" i="41"/>
  <c r="K22" i="41"/>
  <c r="M32" i="41"/>
  <c r="H36" i="41"/>
  <c r="I43" i="41"/>
  <c r="D91" i="41"/>
  <c r="B136" i="41"/>
  <c r="F143" i="41"/>
  <c r="F155" i="41"/>
  <c r="L67" i="41"/>
  <c r="J102" i="41"/>
  <c r="J111" i="41" s="1"/>
  <c r="I140" i="41"/>
  <c r="M163" i="41"/>
  <c r="P37" i="26"/>
  <c r="O37" i="26"/>
  <c r="M39" i="26"/>
  <c r="G80" i="40"/>
  <c r="L36" i="26"/>
  <c r="P35" i="26"/>
  <c r="L39" i="26"/>
  <c r="J44" i="26"/>
  <c r="E29" i="26"/>
  <c r="N43" i="26"/>
  <c r="N52" i="26" s="1"/>
  <c r="H79" i="40"/>
  <c r="F29" i="26"/>
  <c r="Q79" i="40"/>
  <c r="P79" i="40"/>
  <c r="P30" i="26"/>
  <c r="P32" i="26" s="1"/>
  <c r="G30" i="26"/>
  <c r="G32" i="26" s="1"/>
  <c r="L29" i="26"/>
  <c r="D29" i="26"/>
  <c r="L32" i="26"/>
  <c r="P28" i="26"/>
  <c r="D32" i="26"/>
  <c r="L43" i="26"/>
  <c r="L52" i="26" s="1"/>
  <c r="H44" i="26"/>
  <c r="E25" i="26"/>
  <c r="O78" i="40"/>
  <c r="G78" i="40"/>
  <c r="D25" i="26"/>
  <c r="E43" i="26"/>
  <c r="E52" i="26" s="1"/>
  <c r="M43" i="26"/>
  <c r="M52" i="26" s="1"/>
  <c r="G44" i="26"/>
  <c r="D18" i="26"/>
  <c r="D43" i="26"/>
  <c r="D52" i="26" s="1"/>
  <c r="D15" i="26"/>
  <c r="K44" i="26"/>
  <c r="B44" i="26"/>
  <c r="O44" i="26" s="1"/>
  <c r="L18" i="26"/>
  <c r="L15" i="26"/>
  <c r="O77" i="40"/>
  <c r="N15" i="26"/>
  <c r="M18" i="26"/>
  <c r="F18" i="26"/>
  <c r="H43" i="26"/>
  <c r="H52" i="26" s="1"/>
  <c r="C44" i="26"/>
  <c r="P16" i="26"/>
  <c r="P18" i="26" s="1"/>
  <c r="L63" i="30"/>
  <c r="K66" i="30"/>
  <c r="O51" i="30"/>
  <c r="O53" i="30" s="1"/>
  <c r="N64" i="30"/>
  <c r="M53" i="30"/>
  <c r="M55" i="30"/>
  <c r="N66" i="30"/>
  <c r="N52" i="30"/>
  <c r="N55" i="30"/>
  <c r="N58" i="30"/>
  <c r="N67" i="30" s="1"/>
  <c r="M43" i="30"/>
  <c r="L79" i="30"/>
  <c r="J79" i="30"/>
  <c r="M74" i="30"/>
  <c r="M79" i="30" s="1"/>
  <c r="M44" i="30"/>
  <c r="L20" i="38"/>
  <c r="N79" i="30"/>
  <c r="I79" i="30"/>
  <c r="F66" i="30"/>
  <c r="C67" i="30"/>
  <c r="F63" i="30"/>
  <c r="O75" i="30"/>
  <c r="O41" i="30"/>
  <c r="D79" i="30"/>
  <c r="K67" i="30"/>
  <c r="N63" i="30"/>
  <c r="H67" i="30"/>
  <c r="D25" i="30"/>
  <c r="P20" i="30"/>
  <c r="L25" i="30"/>
  <c r="G23" i="30"/>
  <c r="G25" i="30" s="1"/>
  <c r="O23" i="30"/>
  <c r="D22" i="30"/>
  <c r="P16" i="30"/>
  <c r="O16" i="30"/>
  <c r="G36" i="30"/>
  <c r="O36" i="30" s="1"/>
  <c r="L35" i="30"/>
  <c r="L44" i="30" s="1"/>
  <c r="D35" i="30"/>
  <c r="D44" i="30" s="1"/>
  <c r="D15" i="30"/>
  <c r="G16" i="30"/>
  <c r="G18" i="30" s="1"/>
  <c r="L15" i="30"/>
  <c r="P14" i="30"/>
  <c r="J49" i="43"/>
  <c r="C49" i="43"/>
  <c r="P25" i="36"/>
  <c r="O45" i="43"/>
  <c r="N49" i="42"/>
  <c r="N24" i="36"/>
  <c r="P32" i="42"/>
  <c r="E49" i="42"/>
  <c r="O34" i="38"/>
  <c r="G35" i="42"/>
  <c r="G37" i="42" s="1"/>
  <c r="G45" i="42"/>
  <c r="P35" i="42"/>
  <c r="D49" i="42"/>
  <c r="L44" i="42"/>
  <c r="L37" i="42"/>
  <c r="L34" i="42"/>
  <c r="D34" i="42"/>
  <c r="B38" i="42"/>
  <c r="I49" i="42"/>
  <c r="G30" i="43"/>
  <c r="O30" i="43" s="1"/>
  <c r="L29" i="43"/>
  <c r="L38" i="43" s="1"/>
  <c r="D18" i="43"/>
  <c r="O86" i="40"/>
  <c r="G86" i="40"/>
  <c r="R86" i="40" s="1"/>
  <c r="D29" i="43"/>
  <c r="D38" i="43" s="1"/>
  <c r="D15" i="43"/>
  <c r="G16" i="43"/>
  <c r="M22" i="42"/>
  <c r="L22" i="42"/>
  <c r="D22" i="42"/>
  <c r="G30" i="42"/>
  <c r="F25" i="42"/>
  <c r="F29" i="42"/>
  <c r="F38" i="42" s="1"/>
  <c r="E25" i="42"/>
  <c r="G15" i="42"/>
  <c r="H15" i="42"/>
  <c r="D18" i="42"/>
  <c r="H30" i="42"/>
  <c r="L18" i="42"/>
  <c r="I84" i="40"/>
  <c r="K84" i="40"/>
  <c r="L29" i="42"/>
  <c r="L38" i="42" s="1"/>
  <c r="H29" i="42"/>
  <c r="H38" i="42" s="1"/>
  <c r="P84" i="40"/>
  <c r="J30" i="42"/>
  <c r="E29" i="42"/>
  <c r="E38" i="42" s="1"/>
  <c r="F18" i="42"/>
  <c r="L15" i="42"/>
  <c r="I30" i="42"/>
  <c r="N29" i="42"/>
  <c r="N38" i="42" s="1"/>
  <c r="D29" i="42"/>
  <c r="D38" i="42" s="1"/>
  <c r="E18" i="42"/>
  <c r="P14" i="42"/>
  <c r="M29" i="42"/>
  <c r="M38" i="42" s="1"/>
  <c r="O14" i="42"/>
  <c r="J84" i="40"/>
  <c r="G84" i="40"/>
  <c r="G16" i="42"/>
  <c r="G18" i="42" s="1"/>
  <c r="E15" i="42"/>
  <c r="D15" i="42"/>
  <c r="G29" i="42"/>
  <c r="G38" i="42" s="1"/>
  <c r="N18" i="42"/>
  <c r="M18" i="42"/>
  <c r="M37" i="33"/>
  <c r="L23" i="36"/>
  <c r="L48" i="33"/>
  <c r="L49" i="33" s="1"/>
  <c r="M38" i="33"/>
  <c r="M44" i="33"/>
  <c r="I38" i="33"/>
  <c r="N44" i="33"/>
  <c r="N37" i="33"/>
  <c r="N38" i="33"/>
  <c r="L37" i="33"/>
  <c r="H49" i="33"/>
  <c r="K44" i="33"/>
  <c r="P33" i="33"/>
  <c r="O33" i="33"/>
  <c r="P35" i="33" s="1"/>
  <c r="F45" i="33"/>
  <c r="E45" i="33"/>
  <c r="E35" i="33"/>
  <c r="E37" i="33" s="1"/>
  <c r="D45" i="33"/>
  <c r="O45" i="33" s="1"/>
  <c r="B49" i="33"/>
  <c r="P23" i="33"/>
  <c r="P25" i="33" s="1"/>
  <c r="O23" i="33"/>
  <c r="L29" i="33"/>
  <c r="L38" i="33" s="1"/>
  <c r="L25" i="33"/>
  <c r="P21" i="33"/>
  <c r="O67" i="40"/>
  <c r="G67" i="40"/>
  <c r="H23" i="33"/>
  <c r="H25" i="33" s="1"/>
  <c r="M22" i="33"/>
  <c r="E22" i="33"/>
  <c r="B23" i="33"/>
  <c r="B25" i="33" s="1"/>
  <c r="B30" i="33"/>
  <c r="D25" i="33"/>
  <c r="D29" i="33"/>
  <c r="D38" i="33" s="1"/>
  <c r="D18" i="33"/>
  <c r="G66" i="40"/>
  <c r="O66" i="40"/>
  <c r="G16" i="33"/>
  <c r="L15" i="33"/>
  <c r="L163" i="41"/>
  <c r="K163" i="41"/>
  <c r="I168" i="41"/>
  <c r="N155" i="41"/>
  <c r="L155" i="41"/>
  <c r="L156" i="41"/>
  <c r="M155" i="41"/>
  <c r="K156" i="41"/>
  <c r="M141" i="41"/>
  <c r="M143" i="41" s="1"/>
  <c r="L148" i="41"/>
  <c r="N140" i="41"/>
  <c r="N143" i="41"/>
  <c r="K148" i="41"/>
  <c r="N148" i="41"/>
  <c r="P29" i="40"/>
  <c r="N133" i="41"/>
  <c r="N136" i="41"/>
  <c r="M136" i="41"/>
  <c r="K126" i="41"/>
  <c r="N126" i="41"/>
  <c r="J147" i="41"/>
  <c r="J156" i="41" s="1"/>
  <c r="Q28" i="40"/>
  <c r="P28" i="40"/>
  <c r="L126" i="41"/>
  <c r="N28" i="40"/>
  <c r="N129" i="41"/>
  <c r="H119" i="41"/>
  <c r="P118" i="41"/>
  <c r="P117" i="41"/>
  <c r="P119" i="41" s="1"/>
  <c r="P121" i="41" s="1"/>
  <c r="M147" i="41"/>
  <c r="M156" i="41" s="1"/>
  <c r="J119" i="41"/>
  <c r="M27" i="40"/>
  <c r="N147" i="41"/>
  <c r="N156" i="41" s="1"/>
  <c r="N122" i="41"/>
  <c r="M107" i="41"/>
  <c r="N110" i="41"/>
  <c r="O106" i="41"/>
  <c r="P108" i="41" s="1"/>
  <c r="H168" i="41"/>
  <c r="M11" i="38"/>
  <c r="M162" i="41"/>
  <c r="N175" i="41"/>
  <c r="L175" i="41"/>
  <c r="N107" i="41"/>
  <c r="K168" i="41"/>
  <c r="L11" i="38"/>
  <c r="K11" i="38"/>
  <c r="J11" i="38"/>
  <c r="M175" i="41"/>
  <c r="M110" i="41"/>
  <c r="O94" i="41"/>
  <c r="O96" i="41" s="1"/>
  <c r="I102" i="41"/>
  <c r="I111" i="41" s="1"/>
  <c r="M98" i="41"/>
  <c r="P93" i="41"/>
  <c r="P87" i="41"/>
  <c r="N89" i="41"/>
  <c r="N91" i="41" s="1"/>
  <c r="O87" i="41"/>
  <c r="O89" i="41" s="1"/>
  <c r="L103" i="41"/>
  <c r="N103" i="41"/>
  <c r="M89" i="41"/>
  <c r="M91" i="41" s="1"/>
  <c r="L88" i="41"/>
  <c r="Q25" i="40"/>
  <c r="L102" i="41"/>
  <c r="L111" i="41" s="1"/>
  <c r="K88" i="41"/>
  <c r="P25" i="40"/>
  <c r="K102" i="41"/>
  <c r="K111" i="41" s="1"/>
  <c r="N88" i="41"/>
  <c r="P86" i="41"/>
  <c r="P88" i="41" s="1"/>
  <c r="P90" i="41" s="1"/>
  <c r="I88" i="41"/>
  <c r="P80" i="41"/>
  <c r="N82" i="41"/>
  <c r="N84" i="41" s="1"/>
  <c r="M82" i="41"/>
  <c r="M84" i="41" s="1"/>
  <c r="L82" i="41"/>
  <c r="L84" i="41" s="1"/>
  <c r="K103" i="41"/>
  <c r="M102" i="41"/>
  <c r="M111" i="41" s="1"/>
  <c r="L74" i="41"/>
  <c r="K75" i="41"/>
  <c r="O73" i="41"/>
  <c r="P75" i="41" s="1"/>
  <c r="N75" i="41"/>
  <c r="N77" i="41" s="1"/>
  <c r="M75" i="41"/>
  <c r="M77" i="41" s="1"/>
  <c r="P73" i="41"/>
  <c r="K77" i="41"/>
  <c r="K74" i="41"/>
  <c r="P23" i="40"/>
  <c r="O23" i="40"/>
  <c r="N102" i="41"/>
  <c r="N111" i="41" s="1"/>
  <c r="N74" i="41"/>
  <c r="M74" i="41"/>
  <c r="Q23" i="40"/>
  <c r="O66" i="41"/>
  <c r="O68" i="41" s="1"/>
  <c r="N68" i="41"/>
  <c r="N70" i="41" s="1"/>
  <c r="N67" i="41"/>
  <c r="P54" i="41"/>
  <c r="N56" i="41"/>
  <c r="N58" i="41" s="1"/>
  <c r="N163" i="41"/>
  <c r="M56" i="41"/>
  <c r="M58" i="41" s="1"/>
  <c r="L168" i="41"/>
  <c r="M167" i="41"/>
  <c r="M19" i="36" s="1"/>
  <c r="M10" i="38"/>
  <c r="N162" i="41"/>
  <c r="K59" i="41"/>
  <c r="L10" i="38"/>
  <c r="K58" i="41"/>
  <c r="J168" i="41"/>
  <c r="P151" i="41"/>
  <c r="O151" i="41"/>
  <c r="O153" i="41" s="1"/>
  <c r="P150" i="41"/>
  <c r="G171" i="41" s="1"/>
  <c r="C148" i="41"/>
  <c r="O139" i="41"/>
  <c r="O141" i="41" s="1"/>
  <c r="E148" i="41"/>
  <c r="P139" i="41"/>
  <c r="D148" i="41"/>
  <c r="D141" i="41"/>
  <c r="D143" i="41" s="1"/>
  <c r="D147" i="41"/>
  <c r="D156" i="41" s="1"/>
  <c r="P138" i="41"/>
  <c r="C143" i="41"/>
  <c r="E133" i="41"/>
  <c r="P132" i="41"/>
  <c r="B148" i="41"/>
  <c r="E147" i="41"/>
  <c r="E156" i="41" s="1"/>
  <c r="F133" i="41"/>
  <c r="F147" i="41"/>
  <c r="F156" i="41" s="1"/>
  <c r="F148" i="41"/>
  <c r="P125" i="41"/>
  <c r="P127" i="41"/>
  <c r="C147" i="41"/>
  <c r="C156" i="41" s="1"/>
  <c r="E129" i="41"/>
  <c r="O118" i="41"/>
  <c r="P120" i="41" s="1"/>
  <c r="P122" i="41" s="1"/>
  <c r="F122" i="41"/>
  <c r="E122" i="41"/>
  <c r="D122" i="41"/>
  <c r="C122" i="41"/>
  <c r="C162" i="41"/>
  <c r="C167" i="41" s="1"/>
  <c r="C168" i="41" s="1"/>
  <c r="P105" i="41"/>
  <c r="Q105" i="41" s="1"/>
  <c r="D110" i="41"/>
  <c r="D111" i="41"/>
  <c r="E111" i="41"/>
  <c r="D162" i="41"/>
  <c r="D167" i="41" s="1"/>
  <c r="D19" i="36" s="1"/>
  <c r="Q150" i="41"/>
  <c r="P134" i="41"/>
  <c r="P136" i="41" s="1"/>
  <c r="P133" i="41"/>
  <c r="P135" i="41" s="1"/>
  <c r="F110" i="41"/>
  <c r="E110" i="41"/>
  <c r="E103" i="41"/>
  <c r="F95" i="41"/>
  <c r="E95" i="41"/>
  <c r="I26" i="40"/>
  <c r="O80" i="41"/>
  <c r="P82" i="41" s="1"/>
  <c r="F102" i="41"/>
  <c r="F111" i="41" s="1"/>
  <c r="P79" i="41"/>
  <c r="F103" i="41"/>
  <c r="P72" i="41"/>
  <c r="P74" i="41" s="1"/>
  <c r="P76" i="41" s="1"/>
  <c r="P65" i="41"/>
  <c r="P67" i="41" s="1"/>
  <c r="P69" i="41" s="1"/>
  <c r="F70" i="41"/>
  <c r="E70" i="41"/>
  <c r="C19" i="36"/>
  <c r="B168" i="41"/>
  <c r="F175" i="41"/>
  <c r="E175" i="41"/>
  <c r="F162" i="41"/>
  <c r="F167" i="41" s="1"/>
  <c r="F168" i="41" s="1"/>
  <c r="D175" i="41"/>
  <c r="P53" i="41"/>
  <c r="J171" i="41" s="1"/>
  <c r="C58" i="41"/>
  <c r="G162" i="41"/>
  <c r="G167" i="41" s="1"/>
  <c r="G19" i="36" s="1"/>
  <c r="G55" i="41"/>
  <c r="G58" i="41"/>
  <c r="P41" i="41"/>
  <c r="M46" i="41"/>
  <c r="F43" i="41"/>
  <c r="N43" i="41"/>
  <c r="F46" i="41"/>
  <c r="M43" i="41"/>
  <c r="P44" i="41"/>
  <c r="G46" i="41"/>
  <c r="E43" i="41"/>
  <c r="Q21" i="40"/>
  <c r="G43" i="41"/>
  <c r="E46" i="41"/>
  <c r="F36" i="41"/>
  <c r="D39" i="41"/>
  <c r="C51" i="41"/>
  <c r="K51" i="41"/>
  <c r="O35" i="41"/>
  <c r="P37" i="41" s="1"/>
  <c r="G36" i="41"/>
  <c r="L39" i="41"/>
  <c r="F39" i="41"/>
  <c r="D36" i="41"/>
  <c r="P20" i="40"/>
  <c r="H20" i="40"/>
  <c r="P35" i="41"/>
  <c r="O20" i="40"/>
  <c r="G20" i="40"/>
  <c r="M39" i="41"/>
  <c r="Q20" i="40"/>
  <c r="E39" i="41"/>
  <c r="G50" i="41"/>
  <c r="H32" i="41"/>
  <c r="I32" i="41"/>
  <c r="G32" i="41"/>
  <c r="E29" i="41"/>
  <c r="D29" i="41"/>
  <c r="P28" i="41"/>
  <c r="B32" i="41"/>
  <c r="L29" i="41"/>
  <c r="B51" i="41"/>
  <c r="P19" i="40"/>
  <c r="H50" i="41"/>
  <c r="H59" i="41" s="1"/>
  <c r="D32" i="41"/>
  <c r="N32" i="41"/>
  <c r="P27" i="41"/>
  <c r="P32" i="41" s="1"/>
  <c r="G29" i="41"/>
  <c r="P29" i="41" s="1"/>
  <c r="P31" i="41" s="1"/>
  <c r="J174" i="41"/>
  <c r="J176" i="41" s="1"/>
  <c r="L32" i="41"/>
  <c r="G51" i="41"/>
  <c r="L25" i="41"/>
  <c r="M22" i="41"/>
  <c r="L22" i="41"/>
  <c r="G18" i="40"/>
  <c r="R18" i="40" s="1"/>
  <c r="D22" i="41"/>
  <c r="P21" i="41"/>
  <c r="D50" i="41"/>
  <c r="D59" i="41" s="1"/>
  <c r="M25" i="41"/>
  <c r="E22" i="41"/>
  <c r="F25" i="41"/>
  <c r="O21" i="41"/>
  <c r="J51" i="41"/>
  <c r="F50" i="41"/>
  <c r="F59" i="41" s="1"/>
  <c r="I51" i="41"/>
  <c r="E25" i="41"/>
  <c r="N59" i="41"/>
  <c r="N15" i="41"/>
  <c r="I17" i="40"/>
  <c r="H51" i="41"/>
  <c r="L50" i="41"/>
  <c r="L15" i="41"/>
  <c r="D15" i="41"/>
  <c r="I16" i="41"/>
  <c r="I18" i="41" s="1"/>
  <c r="B174" i="41"/>
  <c r="B176" i="41" s="1"/>
  <c r="O14" i="41"/>
  <c r="G17" i="40"/>
  <c r="R17" i="40" s="1"/>
  <c r="G16" i="41"/>
  <c r="G18" i="41" s="1"/>
  <c r="M50" i="41"/>
  <c r="M15" i="41"/>
  <c r="P17" i="40"/>
  <c r="E50" i="41"/>
  <c r="P13" i="41"/>
  <c r="L18" i="41"/>
  <c r="E15" i="41"/>
  <c r="D18" i="41"/>
  <c r="P14" i="41"/>
  <c r="P61" i="7"/>
  <c r="K73" i="7"/>
  <c r="L73" i="7"/>
  <c r="F63" i="7"/>
  <c r="F65" i="7" s="1"/>
  <c r="O61" i="7"/>
  <c r="O63" i="7" s="1"/>
  <c r="J76" i="7"/>
  <c r="J77" i="7" s="1"/>
  <c r="L18" i="36"/>
  <c r="N62" i="7"/>
  <c r="I77" i="7"/>
  <c r="N65" i="7"/>
  <c r="K18" i="36"/>
  <c r="M62" i="7"/>
  <c r="N72" i="7"/>
  <c r="P72" i="7" s="1"/>
  <c r="M72" i="7"/>
  <c r="K66" i="7"/>
  <c r="D18" i="36"/>
  <c r="E76" i="7"/>
  <c r="E77" i="7" s="1"/>
  <c r="F76" i="7"/>
  <c r="F77" i="7" s="1"/>
  <c r="D77" i="7"/>
  <c r="N58" i="7"/>
  <c r="L58" i="7"/>
  <c r="O49" i="7"/>
  <c r="P51" i="7" s="1"/>
  <c r="P49" i="7"/>
  <c r="F58" i="7"/>
  <c r="F51" i="7"/>
  <c r="F53" i="7" s="1"/>
  <c r="N53" i="7"/>
  <c r="M53" i="7"/>
  <c r="L53" i="7"/>
  <c r="P48" i="7"/>
  <c r="F50" i="7"/>
  <c r="E50" i="7"/>
  <c r="G44" i="7"/>
  <c r="G46" i="7" s="1"/>
  <c r="G15" i="40"/>
  <c r="O44" i="7"/>
  <c r="P44" i="7"/>
  <c r="P46" i="7" s="1"/>
  <c r="N46" i="7"/>
  <c r="L43" i="7"/>
  <c r="B58" i="7"/>
  <c r="D43" i="7"/>
  <c r="N57" i="7"/>
  <c r="N66" i="7" s="1"/>
  <c r="M46" i="7"/>
  <c r="F46" i="7"/>
  <c r="P42" i="7"/>
  <c r="M43" i="7"/>
  <c r="E46" i="7"/>
  <c r="H15" i="40"/>
  <c r="R15" i="40" s="1"/>
  <c r="C58" i="7"/>
  <c r="L46" i="7"/>
  <c r="D46" i="7"/>
  <c r="E58" i="7"/>
  <c r="C57" i="7"/>
  <c r="C66" i="7" s="1"/>
  <c r="K58" i="7"/>
  <c r="I32" i="7"/>
  <c r="B32" i="7"/>
  <c r="J32" i="7"/>
  <c r="H32" i="7"/>
  <c r="F29" i="7"/>
  <c r="P13" i="40"/>
  <c r="H13" i="40"/>
  <c r="H57" i="7"/>
  <c r="H66" i="7" s="1"/>
  <c r="P28" i="7"/>
  <c r="G58" i="7"/>
  <c r="F57" i="7"/>
  <c r="F66" i="7" s="1"/>
  <c r="D32" i="7"/>
  <c r="E57" i="7"/>
  <c r="E66" i="7" s="1"/>
  <c r="Q13" i="40"/>
  <c r="G57" i="7"/>
  <c r="J58" i="7"/>
  <c r="O13" i="40"/>
  <c r="G13" i="40"/>
  <c r="R13" i="40" s="1"/>
  <c r="G32" i="7"/>
  <c r="L57" i="7"/>
  <c r="L66" i="7" s="1"/>
  <c r="H58" i="7"/>
  <c r="P27" i="7"/>
  <c r="D57" i="7"/>
  <c r="D66" i="7" s="1"/>
  <c r="M25" i="7"/>
  <c r="I58" i="7"/>
  <c r="G22" i="7"/>
  <c r="J12" i="40"/>
  <c r="R12" i="40" s="1"/>
  <c r="G23" i="7"/>
  <c r="G25" i="7" s="1"/>
  <c r="P21" i="7"/>
  <c r="M57" i="7"/>
  <c r="M66" i="7" s="1"/>
  <c r="O21" i="7"/>
  <c r="P23" i="7" s="1"/>
  <c r="L25" i="7"/>
  <c r="J23" i="7"/>
  <c r="J25" i="7" s="1"/>
  <c r="N22" i="7"/>
  <c r="F22" i="7"/>
  <c r="E25" i="7"/>
  <c r="D25" i="7"/>
  <c r="M22" i="7"/>
  <c r="E22" i="7"/>
  <c r="I15" i="7"/>
  <c r="J15" i="7"/>
  <c r="P15" i="7"/>
  <c r="P17" i="7" s="1"/>
  <c r="D58" i="7"/>
  <c r="B57" i="7"/>
  <c r="B66" i="7" s="1"/>
  <c r="I18" i="7"/>
  <c r="B15" i="7"/>
  <c r="I57" i="7"/>
  <c r="I66" i="7" s="1"/>
  <c r="N11" i="40"/>
  <c r="F11" i="40"/>
  <c r="R11" i="40" s="1"/>
  <c r="D16" i="7"/>
  <c r="D18" i="7" s="1"/>
  <c r="B18" i="7"/>
  <c r="P14" i="7"/>
  <c r="M11" i="40"/>
  <c r="J57" i="7"/>
  <c r="J66" i="7" s="1"/>
  <c r="L11" i="40"/>
  <c r="C15" i="7"/>
  <c r="M58" i="7"/>
  <c r="J18" i="7"/>
  <c r="C18" i="7"/>
  <c r="G18" i="36"/>
  <c r="O26" i="6"/>
  <c r="P28" i="6" s="1"/>
  <c r="F38" i="6"/>
  <c r="D38" i="6"/>
  <c r="E28" i="6"/>
  <c r="E30" i="6" s="1"/>
  <c r="P26" i="6"/>
  <c r="I17" i="36"/>
  <c r="I41" i="6"/>
  <c r="I42" i="6" s="1"/>
  <c r="I31" i="6"/>
  <c r="N41" i="6"/>
  <c r="N42" i="6"/>
  <c r="N17" i="36"/>
  <c r="M17" i="36"/>
  <c r="I15" i="38"/>
  <c r="L37" i="6"/>
  <c r="H42" i="6"/>
  <c r="J30" i="6"/>
  <c r="M15" i="38"/>
  <c r="O15" i="38" s="1"/>
  <c r="N30" i="6"/>
  <c r="F41" i="6"/>
  <c r="F17" i="36"/>
  <c r="C17" i="36"/>
  <c r="D41" i="6"/>
  <c r="D42" i="6" s="1"/>
  <c r="O28" i="6"/>
  <c r="G16" i="6"/>
  <c r="G18" i="6" s="1"/>
  <c r="K15" i="6"/>
  <c r="H23" i="6"/>
  <c r="E22" i="6"/>
  <c r="E31" i="6" s="1"/>
  <c r="M15" i="6"/>
  <c r="E15" i="6"/>
  <c r="L15" i="6"/>
  <c r="D15" i="6"/>
  <c r="O10" i="40"/>
  <c r="G10" i="40"/>
  <c r="M18" i="6"/>
  <c r="P14" i="6"/>
  <c r="R10" i="40"/>
  <c r="P15" i="6"/>
  <c r="P17" i="6" s="1"/>
  <c r="G44" i="6"/>
  <c r="B23" i="6"/>
  <c r="L18" i="6"/>
  <c r="E18" i="6"/>
  <c r="N86" i="11"/>
  <c r="P85" i="11"/>
  <c r="O85" i="11"/>
  <c r="O87" i="11" s="1"/>
  <c r="N97" i="11"/>
  <c r="M97" i="11"/>
  <c r="H108" i="11"/>
  <c r="K100" i="11"/>
  <c r="K16" i="36" s="1"/>
  <c r="P84" i="11"/>
  <c r="Q84" i="11" s="1"/>
  <c r="M108" i="11"/>
  <c r="M14" i="38"/>
  <c r="L108" i="11"/>
  <c r="L14" i="38"/>
  <c r="K108" i="11"/>
  <c r="K14" i="38"/>
  <c r="M96" i="11"/>
  <c r="J14" i="38"/>
  <c r="N89" i="11"/>
  <c r="E96" i="11"/>
  <c r="E108" i="11"/>
  <c r="E86" i="11"/>
  <c r="D101" i="11"/>
  <c r="F89" i="11"/>
  <c r="C101" i="11"/>
  <c r="F86" i="11"/>
  <c r="N74" i="11"/>
  <c r="M74" i="11"/>
  <c r="J82" i="11"/>
  <c r="O73" i="11"/>
  <c r="O75" i="11" s="1"/>
  <c r="P73" i="11"/>
  <c r="N82" i="11"/>
  <c r="M82" i="11"/>
  <c r="M77" i="11"/>
  <c r="K77" i="11"/>
  <c r="N9" i="40"/>
  <c r="P72" i="11"/>
  <c r="P74" i="11" s="1"/>
  <c r="P76" i="11" s="1"/>
  <c r="Q9" i="40"/>
  <c r="N77" i="11"/>
  <c r="E81" i="11"/>
  <c r="E90" i="11" s="1"/>
  <c r="H82" i="11"/>
  <c r="J68" i="11"/>
  <c r="J70" i="11" s="1"/>
  <c r="H70" i="11"/>
  <c r="O66" i="11"/>
  <c r="O68" i="11" s="1"/>
  <c r="E82" i="11"/>
  <c r="P66" i="11"/>
  <c r="I70" i="11"/>
  <c r="M70" i="11"/>
  <c r="N67" i="11"/>
  <c r="K81" i="11"/>
  <c r="K90" i="11" s="1"/>
  <c r="K70" i="11"/>
  <c r="K67" i="11"/>
  <c r="F81" i="11"/>
  <c r="F90" i="11" s="1"/>
  <c r="P65" i="11"/>
  <c r="B81" i="11"/>
  <c r="B90" i="11" s="1"/>
  <c r="D70" i="11"/>
  <c r="G8" i="40"/>
  <c r="F8" i="40"/>
  <c r="R8" i="40" s="1"/>
  <c r="B70" i="11"/>
  <c r="O14" i="38"/>
  <c r="G81" i="11"/>
  <c r="G90" i="11" s="1"/>
  <c r="P75" i="11"/>
  <c r="I82" i="11"/>
  <c r="N81" i="11"/>
  <c r="N90" i="11" s="1"/>
  <c r="F60" i="11"/>
  <c r="M81" i="11"/>
  <c r="M90" i="11" s="1"/>
  <c r="I7" i="40"/>
  <c r="G82" i="11"/>
  <c r="L81" i="11"/>
  <c r="L90" i="11" s="1"/>
  <c r="H61" i="11"/>
  <c r="H63" i="11" s="1"/>
  <c r="L60" i="11"/>
  <c r="D60" i="11"/>
  <c r="P7" i="40"/>
  <c r="H7" i="40"/>
  <c r="P61" i="11"/>
  <c r="D63" i="11"/>
  <c r="E60" i="11"/>
  <c r="N63" i="11"/>
  <c r="G7" i="40"/>
  <c r="P60" i="11"/>
  <c r="P62" i="11" s="1"/>
  <c r="N60" i="11"/>
  <c r="M63" i="11"/>
  <c r="I107" i="11"/>
  <c r="I109" i="11" s="1"/>
  <c r="M100" i="11"/>
  <c r="M16" i="36" s="1"/>
  <c r="B101" i="11"/>
  <c r="O47" i="11"/>
  <c r="L13" i="38"/>
  <c r="D13" i="38"/>
  <c r="O13" i="38" s="1"/>
  <c r="N108" i="11"/>
  <c r="F108" i="11"/>
  <c r="N96" i="11"/>
  <c r="N100" i="11" s="1"/>
  <c r="N16" i="36" s="1"/>
  <c r="B100" i="11"/>
  <c r="C16" i="36" s="1"/>
  <c r="M48" i="11"/>
  <c r="E48" i="11"/>
  <c r="C97" i="11"/>
  <c r="H97" i="11"/>
  <c r="E51" i="11"/>
  <c r="P46" i="11"/>
  <c r="Q46" i="11" s="1"/>
  <c r="H96" i="11"/>
  <c r="P47" i="11"/>
  <c r="G13" i="38"/>
  <c r="F96" i="11"/>
  <c r="F100" i="11" s="1"/>
  <c r="H48" i="11"/>
  <c r="L16" i="36"/>
  <c r="M13" i="38"/>
  <c r="E13" i="38"/>
  <c r="M51" i="11"/>
  <c r="D39" i="11"/>
  <c r="F36" i="11"/>
  <c r="M36" i="11"/>
  <c r="E36" i="11"/>
  <c r="Q6" i="40"/>
  <c r="R6" i="40" s="1"/>
  <c r="B44" i="11"/>
  <c r="O44" i="11" s="1"/>
  <c r="L36" i="11"/>
  <c r="D36" i="11"/>
  <c r="B37" i="11"/>
  <c r="B39" i="11" s="1"/>
  <c r="N39" i="11"/>
  <c r="P35" i="11"/>
  <c r="P30" i="11"/>
  <c r="O30" i="11"/>
  <c r="D43" i="11"/>
  <c r="D52" i="11" s="1"/>
  <c r="O5" i="40"/>
  <c r="G5" i="40"/>
  <c r="G43" i="11"/>
  <c r="G52" i="11" s="1"/>
  <c r="J107" i="11"/>
  <c r="J109" i="11" s="1"/>
  <c r="P28" i="11"/>
  <c r="M32" i="11"/>
  <c r="E32" i="11"/>
  <c r="D29" i="11"/>
  <c r="L32" i="11"/>
  <c r="D32" i="11"/>
  <c r="C22" i="11"/>
  <c r="F22" i="11"/>
  <c r="E43" i="11"/>
  <c r="E107" i="11" s="1"/>
  <c r="E109" i="11" s="1"/>
  <c r="N22" i="11"/>
  <c r="I4" i="40"/>
  <c r="D22" i="11"/>
  <c r="M25" i="11"/>
  <c r="J44" i="11"/>
  <c r="P23" i="11"/>
  <c r="P25" i="11" s="1"/>
  <c r="O23" i="11"/>
  <c r="C107" i="11"/>
  <c r="C109" i="11" s="1"/>
  <c r="C52" i="11"/>
  <c r="L43" i="11"/>
  <c r="L52" i="11" s="1"/>
  <c r="G4" i="40"/>
  <c r="O4" i="40"/>
  <c r="M43" i="11"/>
  <c r="M52" i="11" s="1"/>
  <c r="I44" i="11"/>
  <c r="G44" i="11"/>
  <c r="N25" i="11"/>
  <c r="J4" i="40"/>
  <c r="F25" i="11"/>
  <c r="P21" i="11"/>
  <c r="K44" i="11"/>
  <c r="E22" i="11"/>
  <c r="E25" i="11"/>
  <c r="K4" i="40"/>
  <c r="L25" i="11"/>
  <c r="D25" i="11"/>
  <c r="H15" i="11"/>
  <c r="H44" i="11"/>
  <c r="N15" i="11"/>
  <c r="F15" i="11"/>
  <c r="P3" i="40"/>
  <c r="H3" i="40"/>
  <c r="R3" i="40" s="1"/>
  <c r="C44" i="11"/>
  <c r="E18" i="11"/>
  <c r="M18" i="11"/>
  <c r="H43" i="11"/>
  <c r="O14" i="11"/>
  <c r="K3" i="40"/>
  <c r="I16" i="11"/>
  <c r="I18" i="11" s="1"/>
  <c r="P14" i="11"/>
  <c r="N43" i="11"/>
  <c r="N52" i="11" s="1"/>
  <c r="F43" i="11"/>
  <c r="G48" i="8"/>
  <c r="N15" i="36"/>
  <c r="N62" i="8"/>
  <c r="D51" i="8"/>
  <c r="I59" i="8"/>
  <c r="M48" i="8"/>
  <c r="L48" i="8"/>
  <c r="K32" i="38"/>
  <c r="E58" i="8"/>
  <c r="E62" i="8" s="1"/>
  <c r="E63" i="8" s="1"/>
  <c r="N48" i="8"/>
  <c r="D58" i="8"/>
  <c r="D62" i="8" s="1"/>
  <c r="D63" i="8" s="1"/>
  <c r="D48" i="8"/>
  <c r="C49" i="8"/>
  <c r="C51" i="8" s="1"/>
  <c r="I62" i="8"/>
  <c r="I63" i="8" s="1"/>
  <c r="H15" i="36"/>
  <c r="H59" i="8"/>
  <c r="O59" i="8" s="1"/>
  <c r="B63" i="8"/>
  <c r="G59" i="8"/>
  <c r="N51" i="8"/>
  <c r="I52" i="8"/>
  <c r="M51" i="8"/>
  <c r="F51" i="8"/>
  <c r="J36" i="8"/>
  <c r="M59" i="40"/>
  <c r="E37" i="8"/>
  <c r="E39" i="8" s="1"/>
  <c r="I36" i="8"/>
  <c r="L59" i="40"/>
  <c r="R59" i="40" s="1"/>
  <c r="J43" i="8"/>
  <c r="J52" i="8" s="1"/>
  <c r="D44" i="8"/>
  <c r="K39" i="8"/>
  <c r="J39" i="8"/>
  <c r="B39" i="8"/>
  <c r="C36" i="8"/>
  <c r="I39" i="8"/>
  <c r="B43" i="8"/>
  <c r="B52" i="8" s="1"/>
  <c r="B36" i="8"/>
  <c r="H29" i="8"/>
  <c r="H58" i="40"/>
  <c r="E32" i="8"/>
  <c r="D32" i="8"/>
  <c r="O28" i="8"/>
  <c r="P30" i="8" s="1"/>
  <c r="I58" i="40"/>
  <c r="O58" i="40"/>
  <c r="H30" i="8"/>
  <c r="H32" i="8" s="1"/>
  <c r="D29" i="8"/>
  <c r="N32" i="8"/>
  <c r="F43" i="8"/>
  <c r="F52" i="8" s="1"/>
  <c r="I44" i="8"/>
  <c r="M32" i="8"/>
  <c r="F32" i="8"/>
  <c r="P28" i="8"/>
  <c r="N43" i="8"/>
  <c r="N52" i="8" s="1"/>
  <c r="E44" i="8"/>
  <c r="L32" i="8"/>
  <c r="K58" i="40"/>
  <c r="E25" i="8"/>
  <c r="F22" i="8"/>
  <c r="L25" i="8"/>
  <c r="G57" i="40"/>
  <c r="N22" i="8"/>
  <c r="M22" i="8"/>
  <c r="D22" i="8"/>
  <c r="C44" i="8"/>
  <c r="M43" i="8"/>
  <c r="M52" i="8" s="1"/>
  <c r="O57" i="40"/>
  <c r="R57" i="40" s="1"/>
  <c r="N25" i="8"/>
  <c r="L43" i="8"/>
  <c r="L52" i="8" s="1"/>
  <c r="I23" i="8"/>
  <c r="I25" i="8" s="1"/>
  <c r="H43" i="8"/>
  <c r="H52" i="8" s="1"/>
  <c r="M25" i="8"/>
  <c r="F25" i="8"/>
  <c r="G15" i="8"/>
  <c r="E43" i="8"/>
  <c r="E52" i="8" s="1"/>
  <c r="M15" i="8"/>
  <c r="E15" i="8"/>
  <c r="O56" i="40"/>
  <c r="G56" i="40"/>
  <c r="B44" i="8"/>
  <c r="L15" i="8"/>
  <c r="D15" i="8"/>
  <c r="J44" i="8"/>
  <c r="D43" i="8"/>
  <c r="D52" i="8" s="1"/>
  <c r="M18" i="8"/>
  <c r="J15" i="8"/>
  <c r="P14" i="8"/>
  <c r="L18" i="8"/>
  <c r="E18" i="8"/>
  <c r="O14" i="8"/>
  <c r="P16" i="8" s="1"/>
  <c r="P18" i="8" s="1"/>
  <c r="D18" i="8"/>
  <c r="J56" i="40"/>
  <c r="L15" i="36"/>
  <c r="G36" i="8"/>
  <c r="E22" i="12"/>
  <c r="F101" i="12"/>
  <c r="B75" i="12"/>
  <c r="H53" i="12"/>
  <c r="C75" i="12"/>
  <c r="N60" i="12"/>
  <c r="Q71" i="40"/>
  <c r="G39" i="8"/>
  <c r="P35" i="8"/>
  <c r="I73" i="40"/>
  <c r="I82" i="12"/>
  <c r="I89" i="12"/>
  <c r="I93" i="12" s="1"/>
  <c r="I14" i="36" s="1"/>
  <c r="F63" i="8"/>
  <c r="H82" i="12"/>
  <c r="K36" i="12"/>
  <c r="P34" i="8"/>
  <c r="P39" i="8" s="1"/>
  <c r="I71" i="40"/>
  <c r="B101" i="12"/>
  <c r="H41" i="12"/>
  <c r="F56" i="12"/>
  <c r="I53" i="12"/>
  <c r="I74" i="12"/>
  <c r="I83" i="12" s="1"/>
  <c r="L75" i="12"/>
  <c r="G70" i="12"/>
  <c r="K79" i="12"/>
  <c r="H90" i="12"/>
  <c r="E67" i="12"/>
  <c r="I90" i="12"/>
  <c r="E25" i="12"/>
  <c r="M36" i="12"/>
  <c r="M45" i="12" s="1"/>
  <c r="G44" i="8"/>
  <c r="M74" i="40"/>
  <c r="G15" i="12"/>
  <c r="J60" i="12"/>
  <c r="C79" i="12"/>
  <c r="L79" i="12"/>
  <c r="M67" i="12"/>
  <c r="F89" i="12"/>
  <c r="F93" i="12" s="1"/>
  <c r="F14" i="36" s="1"/>
  <c r="E41" i="12"/>
  <c r="N37" i="12"/>
  <c r="P21" i="12"/>
  <c r="M22" i="12"/>
  <c r="N44" i="12"/>
  <c r="M15" i="36"/>
  <c r="M30" i="12"/>
  <c r="M32" i="12" s="1"/>
  <c r="B29" i="12"/>
  <c r="F44" i="12"/>
  <c r="D53" i="12"/>
  <c r="L53" i="12"/>
  <c r="G56" i="12"/>
  <c r="J15" i="36"/>
  <c r="E23" i="38"/>
  <c r="O23" i="38" s="1"/>
  <c r="J79" i="12"/>
  <c r="H70" i="12"/>
  <c r="B60" i="12"/>
  <c r="I22" i="12"/>
  <c r="G58" i="8"/>
  <c r="P76" i="40"/>
  <c r="M72" i="40"/>
  <c r="J89" i="12"/>
  <c r="G44" i="12"/>
  <c r="E53" i="12"/>
  <c r="H56" i="12"/>
  <c r="C60" i="12"/>
  <c r="K60" i="12"/>
  <c r="N63" i="12"/>
  <c r="E79" i="12"/>
  <c r="D79" i="12"/>
  <c r="D16" i="12"/>
  <c r="D18" i="12" s="1"/>
  <c r="N18" i="12"/>
  <c r="F15" i="12"/>
  <c r="L37" i="12"/>
  <c r="H15" i="12"/>
  <c r="I15" i="12"/>
  <c r="O49" i="8"/>
  <c r="P49" i="8"/>
  <c r="J36" i="12"/>
  <c r="J45" i="12" s="1"/>
  <c r="P27" i="12"/>
  <c r="P29" i="12" s="1"/>
  <c r="P31" i="12" s="1"/>
  <c r="I70" i="12"/>
  <c r="I37" i="12"/>
  <c r="G43" i="8"/>
  <c r="G52" i="8" s="1"/>
  <c r="P21" i="8"/>
  <c r="L72" i="40"/>
  <c r="C29" i="12"/>
  <c r="C80" i="12"/>
  <c r="C82" i="12" s="1"/>
  <c r="M54" i="12"/>
  <c r="M56" i="12" s="1"/>
  <c r="G36" i="12"/>
  <c r="G45" i="12" s="1"/>
  <c r="P47" i="8"/>
  <c r="F15" i="36"/>
  <c r="H101" i="12"/>
  <c r="H74" i="12"/>
  <c r="H83" i="12" s="1"/>
  <c r="P66" i="12"/>
  <c r="B63" i="12"/>
  <c r="I41" i="12"/>
  <c r="F37" i="12"/>
  <c r="F36" i="12"/>
  <c r="F45" i="12" s="1"/>
  <c r="B23" i="12"/>
  <c r="B25" i="12" s="1"/>
  <c r="F22" i="12"/>
  <c r="J16" i="12"/>
  <c r="J18" i="12" s="1"/>
  <c r="D15" i="36"/>
  <c r="O37" i="8"/>
  <c r="P27" i="8"/>
  <c r="P20" i="8"/>
  <c r="N76" i="40"/>
  <c r="J74" i="40"/>
  <c r="L73" i="40"/>
  <c r="F71" i="40"/>
  <c r="D29" i="12"/>
  <c r="C41" i="12"/>
  <c r="K41" i="12"/>
  <c r="I56" i="12"/>
  <c r="C101" i="12"/>
  <c r="B37" i="12"/>
  <c r="J74" i="12"/>
  <c r="J32" i="12"/>
  <c r="F76" i="40"/>
  <c r="I101" i="12"/>
  <c r="K16" i="12"/>
  <c r="K18" i="12" s="1"/>
  <c r="H22" i="38"/>
  <c r="H36" i="38" s="1"/>
  <c r="L80" i="12"/>
  <c r="L82" i="12" s="1"/>
  <c r="E37" i="12"/>
  <c r="E36" i="12"/>
  <c r="N22" i="12"/>
  <c r="P46" i="8"/>
  <c r="G66" i="8" s="1"/>
  <c r="G29" i="8"/>
  <c r="G22" i="8"/>
  <c r="M76" i="40"/>
  <c r="Q74" i="40"/>
  <c r="C44" i="12"/>
  <c r="B56" i="12"/>
  <c r="J56" i="12"/>
  <c r="H63" i="12"/>
  <c r="F25" i="12"/>
  <c r="H79" i="12"/>
  <c r="K74" i="40"/>
  <c r="C32" i="12"/>
  <c r="I60" i="12"/>
  <c r="F32" i="38"/>
  <c r="O32" i="38" s="1"/>
  <c r="G23" i="38"/>
  <c r="K80" i="12"/>
  <c r="K82" i="12" s="1"/>
  <c r="J67" i="12"/>
  <c r="B53" i="12"/>
  <c r="N36" i="12"/>
  <c r="N45" i="12" s="1"/>
  <c r="L22" i="12"/>
  <c r="G25" i="12"/>
  <c r="K44" i="12"/>
  <c r="G101" i="12"/>
  <c r="B44" i="12"/>
  <c r="J44" i="12"/>
  <c r="F60" i="12"/>
  <c r="I63" i="12"/>
  <c r="F75" i="12"/>
  <c r="C67" i="12"/>
  <c r="K67" i="12"/>
  <c r="N25" i="12"/>
  <c r="J53" i="12"/>
  <c r="D90" i="12"/>
  <c r="P32" i="8"/>
  <c r="D80" i="12"/>
  <c r="D82" i="12" s="1"/>
  <c r="O30" i="8"/>
  <c r="O21" i="8"/>
  <c r="O66" i="12"/>
  <c r="P68" i="12" s="1"/>
  <c r="L63" i="8"/>
  <c r="N63" i="8"/>
  <c r="B32" i="12"/>
  <c r="F18" i="12"/>
  <c r="G32" i="8"/>
  <c r="G29" i="12"/>
  <c r="J63" i="12"/>
  <c r="I18" i="12"/>
  <c r="H18" i="12"/>
  <c r="C37" i="12"/>
  <c r="G18" i="12"/>
  <c r="P78" i="12"/>
  <c r="F90" i="12"/>
  <c r="E80" i="12"/>
  <c r="E82" i="12" s="1"/>
  <c r="O78" i="12"/>
  <c r="N89" i="12"/>
  <c r="N93" i="12" s="1"/>
  <c r="N14" i="36" s="1"/>
  <c r="M89" i="12"/>
  <c r="M93" i="12" s="1"/>
  <c r="M14" i="36" s="1"/>
  <c r="P77" i="12"/>
  <c r="G97" i="12" s="1"/>
  <c r="M101" i="12"/>
  <c r="N82" i="12"/>
  <c r="N79" i="12"/>
  <c r="M82" i="12"/>
  <c r="D101" i="12"/>
  <c r="F82" i="12"/>
  <c r="E89" i="12"/>
  <c r="E93" i="12" s="1"/>
  <c r="E14" i="36" s="1"/>
  <c r="B67" i="12"/>
  <c r="N75" i="12"/>
  <c r="F68" i="12"/>
  <c r="F70" i="12" s="1"/>
  <c r="N74" i="12"/>
  <c r="N83" i="12" s="1"/>
  <c r="N67" i="12"/>
  <c r="P73" i="40"/>
  <c r="M70" i="12"/>
  <c r="N70" i="12"/>
  <c r="P65" i="12"/>
  <c r="E70" i="12"/>
  <c r="D70" i="12"/>
  <c r="G90" i="12"/>
  <c r="G74" i="12"/>
  <c r="G83" i="12" s="1"/>
  <c r="E60" i="12"/>
  <c r="H60" i="12"/>
  <c r="K75" i="12"/>
  <c r="G60" i="12"/>
  <c r="I72" i="40"/>
  <c r="H72" i="40"/>
  <c r="J83" i="12"/>
  <c r="D74" i="12"/>
  <c r="D83" i="12" s="1"/>
  <c r="D60" i="12"/>
  <c r="H75" i="12"/>
  <c r="L60" i="12"/>
  <c r="E63" i="12"/>
  <c r="P58" i="12"/>
  <c r="P60" i="12" s="1"/>
  <c r="P62" i="12" s="1"/>
  <c r="P72" i="40"/>
  <c r="F63" i="12"/>
  <c r="D63" i="12"/>
  <c r="L74" i="12"/>
  <c r="L83" i="12" s="1"/>
  <c r="M63" i="12"/>
  <c r="E74" i="12"/>
  <c r="E83" i="12" s="1"/>
  <c r="M74" i="12"/>
  <c r="M83" i="12" s="1"/>
  <c r="L63" i="12"/>
  <c r="G53" i="12"/>
  <c r="P53" i="12" s="1"/>
  <c r="P55" i="12" s="1"/>
  <c r="E56" i="12"/>
  <c r="J75" i="12"/>
  <c r="F74" i="12"/>
  <c r="F83" i="12" s="1"/>
  <c r="D56" i="12"/>
  <c r="P51" i="12"/>
  <c r="N71" i="40"/>
  <c r="C74" i="12"/>
  <c r="C56" i="12"/>
  <c r="L56" i="12"/>
  <c r="P52" i="12"/>
  <c r="H71" i="40"/>
  <c r="O52" i="12"/>
  <c r="O71" i="40"/>
  <c r="I75" i="12"/>
  <c r="K53" i="12"/>
  <c r="P71" i="40"/>
  <c r="K56" i="12"/>
  <c r="G71" i="40"/>
  <c r="D41" i="12"/>
  <c r="C22" i="38"/>
  <c r="L89" i="12"/>
  <c r="L93" i="12" s="1"/>
  <c r="L14" i="36" s="1"/>
  <c r="L101" i="12"/>
  <c r="M41" i="12"/>
  <c r="L22" i="38"/>
  <c r="J90" i="12"/>
  <c r="L41" i="12"/>
  <c r="E101" i="12"/>
  <c r="M44" i="12"/>
  <c r="G89" i="12"/>
  <c r="G93" i="12" s="1"/>
  <c r="G14" i="36" s="1"/>
  <c r="G41" i="12"/>
  <c r="E44" i="12"/>
  <c r="J93" i="12"/>
  <c r="J14" i="36" s="1"/>
  <c r="J101" i="12"/>
  <c r="M90" i="12"/>
  <c r="E90" i="12"/>
  <c r="K45" i="12"/>
  <c r="J22" i="38"/>
  <c r="B22" i="38"/>
  <c r="K89" i="12"/>
  <c r="B41" i="12"/>
  <c r="I22" i="38"/>
  <c r="D89" i="12"/>
  <c r="D93" i="12" s="1"/>
  <c r="J41" i="12"/>
  <c r="P40" i="12"/>
  <c r="N101" i="12"/>
  <c r="O40" i="12"/>
  <c r="B89" i="12"/>
  <c r="L44" i="12"/>
  <c r="D44" i="12"/>
  <c r="P39" i="12"/>
  <c r="C45" i="12"/>
  <c r="F22" i="38"/>
  <c r="E45" i="12"/>
  <c r="D30" i="12"/>
  <c r="D32" i="12" s="1"/>
  <c r="I36" i="12"/>
  <c r="L30" i="12"/>
  <c r="I32" i="12"/>
  <c r="K100" i="12"/>
  <c r="K102" i="12" s="1"/>
  <c r="P28" i="12"/>
  <c r="O28" i="12"/>
  <c r="O76" i="40"/>
  <c r="G76" i="40"/>
  <c r="R76" i="40" s="1"/>
  <c r="L32" i="12"/>
  <c r="D22" i="12"/>
  <c r="B100" i="12"/>
  <c r="B102" i="12" s="1"/>
  <c r="O21" i="12"/>
  <c r="L25" i="12"/>
  <c r="D25" i="12"/>
  <c r="P20" i="12"/>
  <c r="O75" i="40"/>
  <c r="G75" i="40"/>
  <c r="D15" i="12"/>
  <c r="P13" i="12"/>
  <c r="O14" i="12"/>
  <c r="P16" i="12" s="1"/>
  <c r="P18" i="12" s="1"/>
  <c r="L36" i="12"/>
  <c r="P36" i="12" s="1"/>
  <c r="G37" i="12"/>
  <c r="D36" i="12"/>
  <c r="P14" i="12"/>
  <c r="B63" i="4"/>
  <c r="M61" i="4"/>
  <c r="M63" i="4" s="1"/>
  <c r="P59" i="4"/>
  <c r="O59" i="4"/>
  <c r="P61" i="4" s="1"/>
  <c r="P63" i="4" s="1"/>
  <c r="N68" i="4"/>
  <c r="N67" i="4"/>
  <c r="N76" i="4" s="1"/>
  <c r="F60" i="4"/>
  <c r="E60" i="4"/>
  <c r="F63" i="4"/>
  <c r="C60" i="4"/>
  <c r="E63" i="4"/>
  <c r="F55" i="40"/>
  <c r="R55" i="40" s="1"/>
  <c r="E67" i="4"/>
  <c r="E76" i="4" s="1"/>
  <c r="C63" i="4"/>
  <c r="B67" i="4"/>
  <c r="B76" i="4" s="1"/>
  <c r="D63" i="4"/>
  <c r="D67" i="4"/>
  <c r="D76" i="4" s="1"/>
  <c r="P58" i="4"/>
  <c r="D60" i="4"/>
  <c r="B60" i="4"/>
  <c r="N54" i="4"/>
  <c r="P52" i="4"/>
  <c r="M54" i="4"/>
  <c r="F54" i="4"/>
  <c r="F56" i="4" s="1"/>
  <c r="I93" i="4"/>
  <c r="I95" i="4" s="1"/>
  <c r="K93" i="4"/>
  <c r="K95" i="4" s="1"/>
  <c r="N53" i="4"/>
  <c r="K56" i="4"/>
  <c r="M53" i="4"/>
  <c r="N56" i="4"/>
  <c r="M56" i="4"/>
  <c r="L56" i="4"/>
  <c r="F67" i="4"/>
  <c r="F76" i="4" s="1"/>
  <c r="P51" i="4"/>
  <c r="P53" i="4" s="1"/>
  <c r="P55" i="4" s="1"/>
  <c r="P40" i="4"/>
  <c r="O40" i="4"/>
  <c r="P42" i="4" s="1"/>
  <c r="K83" i="4"/>
  <c r="H83" i="4"/>
  <c r="I42" i="4"/>
  <c r="I44" i="4" s="1"/>
  <c r="L83" i="4"/>
  <c r="J83" i="4"/>
  <c r="I83" i="4"/>
  <c r="H42" i="4"/>
  <c r="H44" i="4" s="1"/>
  <c r="O42" i="4"/>
  <c r="E83" i="4"/>
  <c r="L13" i="36"/>
  <c r="L87" i="4"/>
  <c r="I13" i="36"/>
  <c r="I87" i="4"/>
  <c r="H87" i="4"/>
  <c r="M44" i="4"/>
  <c r="N41" i="4"/>
  <c r="M82" i="4"/>
  <c r="K44" i="4"/>
  <c r="L44" i="4"/>
  <c r="M41" i="4"/>
  <c r="N82" i="4"/>
  <c r="M30" i="38"/>
  <c r="J44" i="4"/>
  <c r="D87" i="4"/>
  <c r="P39" i="4"/>
  <c r="Q39" i="4" s="1"/>
  <c r="E87" i="4"/>
  <c r="B86" i="4"/>
  <c r="C13" i="36" s="1"/>
  <c r="F82" i="4"/>
  <c r="F44" i="10"/>
  <c r="F23" i="10"/>
  <c r="F25" i="10" s="1"/>
  <c r="F53" i="2"/>
  <c r="O28" i="2"/>
  <c r="P30" i="2" s="1"/>
  <c r="P32" i="2" s="1"/>
  <c r="F15" i="2"/>
  <c r="F50" i="28"/>
  <c r="F59" i="28" s="1"/>
  <c r="P21" i="4"/>
  <c r="F37" i="4"/>
  <c r="I31" i="40"/>
  <c r="I51" i="40"/>
  <c r="R51" i="40" s="1"/>
  <c r="P14" i="4"/>
  <c r="P25" i="2"/>
  <c r="P21" i="10"/>
  <c r="O28" i="10"/>
  <c r="O30" i="10" s="1"/>
  <c r="P34" i="10"/>
  <c r="P36" i="10" s="1"/>
  <c r="P38" i="10" s="1"/>
  <c r="F74" i="2"/>
  <c r="F29" i="28"/>
  <c r="F16" i="14"/>
  <c r="F73" i="2"/>
  <c r="F82" i="2" s="1"/>
  <c r="F32" i="28"/>
  <c r="F39" i="28"/>
  <c r="P35" i="10"/>
  <c r="F30" i="14"/>
  <c r="O14" i="2"/>
  <c r="O16" i="2" s="1"/>
  <c r="F36" i="28"/>
  <c r="F29" i="10"/>
  <c r="P27" i="10"/>
  <c r="P29" i="10" s="1"/>
  <c r="P31" i="10" s="1"/>
  <c r="O35" i="10"/>
  <c r="O37" i="10" s="1"/>
  <c r="P27" i="2"/>
  <c r="F18" i="2"/>
  <c r="F22" i="28"/>
  <c r="F67" i="2"/>
  <c r="F25" i="4"/>
  <c r="F18" i="28"/>
  <c r="P73" i="4"/>
  <c r="P75" i="4" s="1"/>
  <c r="O31" i="38"/>
  <c r="H37" i="4"/>
  <c r="O28" i="4"/>
  <c r="O30" i="4" s="1"/>
  <c r="P28" i="4"/>
  <c r="N37" i="4"/>
  <c r="M37" i="4"/>
  <c r="F30" i="4"/>
  <c r="F32" i="4" s="1"/>
  <c r="J93" i="4"/>
  <c r="J95" i="4" s="1"/>
  <c r="J45" i="4"/>
  <c r="L32" i="4"/>
  <c r="K32" i="4"/>
  <c r="I45" i="4"/>
  <c r="N53" i="40"/>
  <c r="J32" i="4"/>
  <c r="M53" i="40"/>
  <c r="R53" i="40" s="1"/>
  <c r="P27" i="4"/>
  <c r="P29" i="4" s="1"/>
  <c r="P31" i="4" s="1"/>
  <c r="H53" i="40"/>
  <c r="E32" i="4"/>
  <c r="P30" i="4"/>
  <c r="G22" i="4"/>
  <c r="H22" i="4"/>
  <c r="D36" i="4"/>
  <c r="D45" i="4" s="1"/>
  <c r="G23" i="4"/>
  <c r="G25" i="4" s="1"/>
  <c r="D22" i="4"/>
  <c r="L36" i="4"/>
  <c r="L45" i="4" s="1"/>
  <c r="E36" i="4"/>
  <c r="E45" i="4" s="1"/>
  <c r="F36" i="4"/>
  <c r="F45" i="4" s="1"/>
  <c r="I37" i="4"/>
  <c r="B37" i="4"/>
  <c r="O21" i="4"/>
  <c r="P23" i="4" s="1"/>
  <c r="Q52" i="40"/>
  <c r="I52" i="40"/>
  <c r="P20" i="4"/>
  <c r="C37" i="4"/>
  <c r="D25" i="4"/>
  <c r="J37" i="4"/>
  <c r="O52" i="40"/>
  <c r="L25" i="4"/>
  <c r="G37" i="4"/>
  <c r="E25" i="4"/>
  <c r="N25" i="4"/>
  <c r="G15" i="4"/>
  <c r="K45" i="4"/>
  <c r="G16" i="4"/>
  <c r="G18" i="4" s="1"/>
  <c r="M18" i="4"/>
  <c r="F18" i="4"/>
  <c r="O14" i="4"/>
  <c r="P16" i="4" s="1"/>
  <c r="K37" i="4"/>
  <c r="N36" i="4"/>
  <c r="H36" i="4"/>
  <c r="C16" i="4"/>
  <c r="C18" i="4" s="1"/>
  <c r="E15" i="4"/>
  <c r="L15" i="4"/>
  <c r="G51" i="40"/>
  <c r="O51" i="40"/>
  <c r="C93" i="4"/>
  <c r="C95" i="4" s="1"/>
  <c r="L18" i="4"/>
  <c r="E18" i="4"/>
  <c r="H15" i="4"/>
  <c r="M36" i="4"/>
  <c r="H51" i="40"/>
  <c r="D18" i="4"/>
  <c r="P77" i="2"/>
  <c r="O77" i="2"/>
  <c r="P79" i="2" s="1"/>
  <c r="D81" i="2"/>
  <c r="M19" i="38"/>
  <c r="N100" i="2"/>
  <c r="M100" i="2"/>
  <c r="K19" i="38"/>
  <c r="J19" i="38"/>
  <c r="M82" i="2"/>
  <c r="L100" i="2"/>
  <c r="N78" i="2"/>
  <c r="L19" i="38"/>
  <c r="P76" i="2"/>
  <c r="Q76" i="2" s="1"/>
  <c r="D100" i="2"/>
  <c r="D82" i="2"/>
  <c r="B78" i="2"/>
  <c r="B100" i="2"/>
  <c r="B81" i="2"/>
  <c r="B19" i="38"/>
  <c r="C19" i="38"/>
  <c r="D78" i="2"/>
  <c r="P66" i="2"/>
  <c r="H74" i="2"/>
  <c r="O66" i="2"/>
  <c r="P68" i="2" s="1"/>
  <c r="P70" i="2" s="1"/>
  <c r="H68" i="2"/>
  <c r="H70" i="2" s="1"/>
  <c r="K70" i="2"/>
  <c r="J70" i="2"/>
  <c r="M38" i="40"/>
  <c r="P65" i="2"/>
  <c r="P67" i="2" s="1"/>
  <c r="P69" i="2" s="1"/>
  <c r="K38" i="40"/>
  <c r="H73" i="2"/>
  <c r="N60" i="2"/>
  <c r="O59" i="2"/>
  <c r="P61" i="2" s="1"/>
  <c r="P63" i="2" s="1"/>
  <c r="P59" i="2"/>
  <c r="N74" i="2"/>
  <c r="O74" i="2" s="1"/>
  <c r="P58" i="2"/>
  <c r="Q37" i="40"/>
  <c r="J63" i="2"/>
  <c r="N63" i="2"/>
  <c r="M63" i="2"/>
  <c r="L63" i="2"/>
  <c r="K63" i="2"/>
  <c r="P37" i="40"/>
  <c r="M60" i="2"/>
  <c r="N53" i="2"/>
  <c r="P52" i="2"/>
  <c r="O52" i="2"/>
  <c r="N54" i="2"/>
  <c r="N56" i="2"/>
  <c r="N73" i="2"/>
  <c r="N82" i="2" s="1"/>
  <c r="Q36" i="40"/>
  <c r="M56" i="2"/>
  <c r="M53" i="2"/>
  <c r="P36" i="40"/>
  <c r="P51" i="2"/>
  <c r="L73" i="2"/>
  <c r="L82" i="2" s="1"/>
  <c r="L56" i="2"/>
  <c r="L53" i="2"/>
  <c r="C70" i="2"/>
  <c r="F38" i="40"/>
  <c r="R38" i="40" s="1"/>
  <c r="C73" i="2"/>
  <c r="C82" i="2" s="1"/>
  <c r="H37" i="40"/>
  <c r="F63" i="2"/>
  <c r="I37" i="40"/>
  <c r="R37" i="40" s="1"/>
  <c r="B99" i="2"/>
  <c r="B101" i="2" s="1"/>
  <c r="O79" i="2"/>
  <c r="N89" i="2"/>
  <c r="M42" i="2"/>
  <c r="L42" i="2"/>
  <c r="K42" i="2"/>
  <c r="K44" i="2" s="1"/>
  <c r="J89" i="2"/>
  <c r="L92" i="2"/>
  <c r="L12" i="36" s="1"/>
  <c r="J92" i="2"/>
  <c r="J12" i="36" s="1"/>
  <c r="J93" i="2"/>
  <c r="N44" i="2"/>
  <c r="N93" i="2"/>
  <c r="M93" i="2"/>
  <c r="M44" i="2"/>
  <c r="K88" i="2"/>
  <c r="L44" i="2"/>
  <c r="C89" i="2"/>
  <c r="P40" i="2"/>
  <c r="O40" i="2"/>
  <c r="O42" i="2" s="1"/>
  <c r="F89" i="2"/>
  <c r="P39" i="2"/>
  <c r="I96" i="2" s="1"/>
  <c r="D93" i="2"/>
  <c r="C44" i="2"/>
  <c r="D18" i="38"/>
  <c r="O18" i="38" s="1"/>
  <c r="E41" i="2"/>
  <c r="C88" i="2"/>
  <c r="C92" i="2" s="1"/>
  <c r="C100" i="2"/>
  <c r="C45" i="2"/>
  <c r="G15" i="2"/>
  <c r="B30" i="2"/>
  <c r="B32" i="2" s="1"/>
  <c r="G41" i="40"/>
  <c r="M32" i="2"/>
  <c r="J30" i="2"/>
  <c r="J32" i="2" s="1"/>
  <c r="K30" i="2"/>
  <c r="K32" i="2" s="1"/>
  <c r="G29" i="2"/>
  <c r="F32" i="2"/>
  <c r="E32" i="2"/>
  <c r="B45" i="2"/>
  <c r="N29" i="2"/>
  <c r="F36" i="2"/>
  <c r="F99" i="2" s="1"/>
  <c r="F101" i="2" s="1"/>
  <c r="E29" i="2"/>
  <c r="N36" i="2"/>
  <c r="N45" i="2" s="1"/>
  <c r="L29" i="2"/>
  <c r="D29" i="2"/>
  <c r="I41" i="40"/>
  <c r="R41" i="40" s="1"/>
  <c r="L32" i="2"/>
  <c r="D32" i="2"/>
  <c r="M29" i="2"/>
  <c r="G36" i="2"/>
  <c r="G45" i="2" s="1"/>
  <c r="P28" i="2"/>
  <c r="O23" i="2"/>
  <c r="H37" i="2"/>
  <c r="M22" i="2"/>
  <c r="F22" i="2"/>
  <c r="H40" i="40"/>
  <c r="I37" i="2"/>
  <c r="F25" i="2"/>
  <c r="L22" i="2"/>
  <c r="G40" i="40"/>
  <c r="B23" i="2"/>
  <c r="B25" i="2" s="1"/>
  <c r="B37" i="2"/>
  <c r="I22" i="2"/>
  <c r="D18" i="2"/>
  <c r="B16" i="2"/>
  <c r="B18" i="2" s="1"/>
  <c r="L18" i="2"/>
  <c r="R39" i="40"/>
  <c r="M36" i="2"/>
  <c r="M99" i="2" s="1"/>
  <c r="M101" i="2" s="1"/>
  <c r="K18" i="2"/>
  <c r="C99" i="2"/>
  <c r="L36" i="2"/>
  <c r="L45" i="2" s="1"/>
  <c r="M15" i="2"/>
  <c r="E15" i="2"/>
  <c r="E36" i="2"/>
  <c r="I99" i="2"/>
  <c r="I101" i="2" s="1"/>
  <c r="D15" i="2"/>
  <c r="D36" i="2"/>
  <c r="G37" i="2"/>
  <c r="O37" i="2" s="1"/>
  <c r="P14" i="2"/>
  <c r="G16" i="2"/>
  <c r="G18" i="2" s="1"/>
  <c r="O49" i="10"/>
  <c r="P49" i="10"/>
  <c r="P51" i="10" s="1"/>
  <c r="J62" i="10"/>
  <c r="J63" i="10" s="1"/>
  <c r="I62" i="10"/>
  <c r="I63" i="10" s="1"/>
  <c r="N11" i="36"/>
  <c r="N63" i="10"/>
  <c r="D62" i="10"/>
  <c r="D63" i="10" s="1"/>
  <c r="E29" i="38"/>
  <c r="D29" i="38"/>
  <c r="C11" i="36"/>
  <c r="C62" i="10"/>
  <c r="C63" i="10" s="1"/>
  <c r="E63" i="10"/>
  <c r="E11" i="36"/>
  <c r="F58" i="10"/>
  <c r="P58" i="10" s="1"/>
  <c r="G36" i="10"/>
  <c r="H36" i="10"/>
  <c r="F36" i="10"/>
  <c r="E39" i="10"/>
  <c r="L39" i="10"/>
  <c r="G43" i="10"/>
  <c r="G52" i="10" s="1"/>
  <c r="D39" i="10"/>
  <c r="M39" i="10"/>
  <c r="G50" i="40"/>
  <c r="R50" i="40" s="1"/>
  <c r="M36" i="10"/>
  <c r="E36" i="10"/>
  <c r="F50" i="40"/>
  <c r="O50" i="40"/>
  <c r="G37" i="10"/>
  <c r="G39" i="10" s="1"/>
  <c r="D36" i="10"/>
  <c r="M50" i="40"/>
  <c r="J43" i="10"/>
  <c r="F39" i="10"/>
  <c r="M43" i="10"/>
  <c r="I44" i="10"/>
  <c r="N43" i="10"/>
  <c r="P30" i="10"/>
  <c r="P28" i="10"/>
  <c r="J49" i="40"/>
  <c r="M29" i="10"/>
  <c r="N32" i="10"/>
  <c r="M32" i="10"/>
  <c r="F32" i="10"/>
  <c r="K44" i="10"/>
  <c r="E29" i="10"/>
  <c r="D29" i="10"/>
  <c r="L32" i="10"/>
  <c r="E32" i="10"/>
  <c r="H43" i="10"/>
  <c r="C44" i="10"/>
  <c r="N25" i="10"/>
  <c r="I23" i="10"/>
  <c r="I25" i="10" s="1"/>
  <c r="B44" i="10"/>
  <c r="H22" i="10"/>
  <c r="G22" i="10"/>
  <c r="P20" i="10"/>
  <c r="P22" i="10" s="1"/>
  <c r="P24" i="10" s="1"/>
  <c r="D25" i="10"/>
  <c r="M25" i="10"/>
  <c r="F22" i="10"/>
  <c r="Q48" i="40"/>
  <c r="E22" i="10"/>
  <c r="N22" i="10"/>
  <c r="L25" i="10"/>
  <c r="M22" i="10"/>
  <c r="P48" i="40"/>
  <c r="L22" i="10"/>
  <c r="D22" i="10"/>
  <c r="G44" i="10"/>
  <c r="K23" i="10"/>
  <c r="K25" i="10" s="1"/>
  <c r="H44" i="10"/>
  <c r="P14" i="10"/>
  <c r="M18" i="10"/>
  <c r="G16" i="10"/>
  <c r="G18" i="10" s="1"/>
  <c r="L43" i="10"/>
  <c r="F43" i="10"/>
  <c r="F52" i="10" s="1"/>
  <c r="P13" i="10"/>
  <c r="E18" i="10"/>
  <c r="I47" i="40"/>
  <c r="R47" i="40" s="1"/>
  <c r="D18" i="10"/>
  <c r="G15" i="10"/>
  <c r="P47" i="40"/>
  <c r="H47" i="40"/>
  <c r="C16" i="10"/>
  <c r="C18" i="10" s="1"/>
  <c r="O14" i="10"/>
  <c r="O16" i="10" s="1"/>
  <c r="L18" i="10"/>
  <c r="F18" i="10"/>
  <c r="E43" i="10"/>
  <c r="Q47" i="40"/>
  <c r="D43" i="10"/>
  <c r="C49" i="14"/>
  <c r="P33" i="14"/>
  <c r="O33" i="14"/>
  <c r="P35" i="14" s="1"/>
  <c r="I38" i="14"/>
  <c r="I48" i="14"/>
  <c r="I49" i="14" s="1"/>
  <c r="J10" i="36"/>
  <c r="P32" i="14"/>
  <c r="G52" i="14" s="1"/>
  <c r="K34" i="14"/>
  <c r="M25" i="38"/>
  <c r="N37" i="14"/>
  <c r="N34" i="14"/>
  <c r="L44" i="14"/>
  <c r="L37" i="14"/>
  <c r="L34" i="14"/>
  <c r="L25" i="38"/>
  <c r="K44" i="14"/>
  <c r="K37" i="14"/>
  <c r="M44" i="14"/>
  <c r="M37" i="14"/>
  <c r="O65" i="40"/>
  <c r="D22" i="14"/>
  <c r="N25" i="14"/>
  <c r="F25" i="14"/>
  <c r="M25" i="14"/>
  <c r="E25" i="14"/>
  <c r="P21" i="14"/>
  <c r="C25" i="14"/>
  <c r="M29" i="14"/>
  <c r="M38" i="14" s="1"/>
  <c r="D25" i="14"/>
  <c r="O21" i="14"/>
  <c r="H65" i="40"/>
  <c r="R65" i="40" s="1"/>
  <c r="D29" i="14"/>
  <c r="D38" i="14" s="1"/>
  <c r="P20" i="14"/>
  <c r="G15" i="14"/>
  <c r="H15" i="14"/>
  <c r="N29" i="14"/>
  <c r="N38" i="14" s="1"/>
  <c r="J30" i="14"/>
  <c r="H29" i="14"/>
  <c r="H38" i="14" s="1"/>
  <c r="M18" i="14"/>
  <c r="H30" i="14"/>
  <c r="I30" i="14"/>
  <c r="D18" i="14"/>
  <c r="P13" i="14"/>
  <c r="F18" i="14"/>
  <c r="B30" i="14"/>
  <c r="B16" i="14"/>
  <c r="B18" i="14" s="1"/>
  <c r="Q64" i="40"/>
  <c r="H64" i="40"/>
  <c r="L29" i="14"/>
  <c r="L38" i="14" s="1"/>
  <c r="E29" i="14"/>
  <c r="E38" i="14" s="1"/>
  <c r="G30" i="14"/>
  <c r="E18" i="14"/>
  <c r="D15" i="14"/>
  <c r="L18" i="14"/>
  <c r="F15" i="14"/>
  <c r="P64" i="40"/>
  <c r="G64" i="40"/>
  <c r="O14" i="14"/>
  <c r="M15" i="14"/>
  <c r="O64" i="40"/>
  <c r="F29" i="14"/>
  <c r="F38" i="14" s="1"/>
  <c r="D36" i="38"/>
  <c r="P54" i="28"/>
  <c r="M56" i="28"/>
  <c r="M58" i="28" s="1"/>
  <c r="O54" i="28"/>
  <c r="M66" i="28"/>
  <c r="E43" i="28"/>
  <c r="D46" i="28"/>
  <c r="C46" i="28"/>
  <c r="B46" i="28"/>
  <c r="E46" i="28"/>
  <c r="D43" i="28"/>
  <c r="C43" i="28"/>
  <c r="B43" i="28"/>
  <c r="B36" i="28"/>
  <c r="D36" i="28"/>
  <c r="E39" i="28"/>
  <c r="C39" i="28"/>
  <c r="E36" i="28"/>
  <c r="B39" i="28"/>
  <c r="C36" i="28"/>
  <c r="O28" i="28"/>
  <c r="P30" i="28" s="1"/>
  <c r="P28" i="28"/>
  <c r="C51" i="28"/>
  <c r="C30" i="28"/>
  <c r="C32" i="28" s="1"/>
  <c r="D22" i="28"/>
  <c r="C22" i="28"/>
  <c r="C23" i="28"/>
  <c r="C25" i="28" s="1"/>
  <c r="E25" i="28"/>
  <c r="F25" i="28"/>
  <c r="B25" i="28"/>
  <c r="D25" i="28"/>
  <c r="P20" i="28"/>
  <c r="P22" i="28" s="1"/>
  <c r="P24" i="28" s="1"/>
  <c r="B22" i="28"/>
  <c r="E22" i="28"/>
  <c r="F15" i="28"/>
  <c r="B15" i="28"/>
  <c r="C15" i="28"/>
  <c r="D15" i="28"/>
  <c r="D18" i="28"/>
  <c r="C18" i="28"/>
  <c r="B18" i="28"/>
  <c r="B51" i="28"/>
  <c r="I69" i="28"/>
  <c r="I70" i="28" s="1"/>
  <c r="H25" i="28"/>
  <c r="H46" i="28"/>
  <c r="K35" i="40"/>
  <c r="K32" i="40"/>
  <c r="H39" i="28"/>
  <c r="H51" i="28"/>
  <c r="P42" i="28"/>
  <c r="J51" i="28"/>
  <c r="N50" i="28"/>
  <c r="N59" i="28" s="1"/>
  <c r="J29" i="28"/>
  <c r="J50" i="28"/>
  <c r="J59" i="28" s="1"/>
  <c r="J32" i="28"/>
  <c r="N29" i="28"/>
  <c r="I32" i="28"/>
  <c r="I22" i="28"/>
  <c r="P21" i="28"/>
  <c r="I51" i="28"/>
  <c r="K25" i="28"/>
  <c r="K22" i="28"/>
  <c r="M32" i="40"/>
  <c r="J22" i="28"/>
  <c r="J25" i="28"/>
  <c r="P13" i="28"/>
  <c r="L18" i="28"/>
  <c r="K18" i="28"/>
  <c r="M15" i="28"/>
  <c r="L50" i="28"/>
  <c r="L59" i="28" s="1"/>
  <c r="L15" i="28"/>
  <c r="K15" i="28"/>
  <c r="K50" i="28"/>
  <c r="K59" i="28" s="1"/>
  <c r="R34" i="40"/>
  <c r="H50" i="28"/>
  <c r="H59" i="28" s="1"/>
  <c r="P27" i="28"/>
  <c r="P29" i="28" s="1"/>
  <c r="P31" i="28" s="1"/>
  <c r="H32" i="28"/>
  <c r="H22" i="28"/>
  <c r="P14" i="28"/>
  <c r="O14" i="28"/>
  <c r="P16" i="28" s="1"/>
  <c r="O46" i="23"/>
  <c r="G50" i="23"/>
  <c r="G51" i="23" s="1"/>
  <c r="P45" i="23"/>
  <c r="P35" i="23"/>
  <c r="P37" i="23" s="1"/>
  <c r="B41" i="23" s="1"/>
  <c r="H54" i="23"/>
  <c r="P25" i="23"/>
  <c r="R43" i="40"/>
  <c r="G15" i="23"/>
  <c r="O16" i="23"/>
  <c r="G18" i="23"/>
  <c r="J42" i="40"/>
  <c r="R42" i="40" s="1"/>
  <c r="P13" i="23"/>
  <c r="G29" i="23"/>
  <c r="G15" i="21"/>
  <c r="G18" i="21"/>
  <c r="G43" i="21"/>
  <c r="P13" i="21"/>
  <c r="P39" i="26"/>
  <c r="P36" i="26"/>
  <c r="P38" i="26" s="1"/>
  <c r="G39" i="26"/>
  <c r="J80" i="40"/>
  <c r="R80" i="40" s="1"/>
  <c r="G36" i="26"/>
  <c r="R79" i="40"/>
  <c r="P23" i="26"/>
  <c r="P25" i="26" s="1"/>
  <c r="R78" i="40"/>
  <c r="P15" i="26"/>
  <c r="P17" i="26" s="1"/>
  <c r="G65" i="26"/>
  <c r="G43" i="26"/>
  <c r="J77" i="40"/>
  <c r="R77" i="40" s="1"/>
  <c r="G15" i="26"/>
  <c r="G18" i="26"/>
  <c r="P50" i="30"/>
  <c r="G82" i="30"/>
  <c r="P40" i="30"/>
  <c r="P42" i="30" s="1"/>
  <c r="B46" i="30" s="1"/>
  <c r="B47" i="30" s="1"/>
  <c r="Q38" i="30"/>
  <c r="G78" i="30"/>
  <c r="G74" i="30"/>
  <c r="G79" i="30" s="1"/>
  <c r="F20" i="38"/>
  <c r="G40" i="30"/>
  <c r="G43" i="30"/>
  <c r="P27" i="30"/>
  <c r="P29" i="30" s="1"/>
  <c r="P31" i="30" s="1"/>
  <c r="P22" i="30"/>
  <c r="P24" i="30" s="1"/>
  <c r="R46" i="40"/>
  <c r="G35" i="30"/>
  <c r="G44" i="30" s="1"/>
  <c r="G15" i="30"/>
  <c r="J45" i="40"/>
  <c r="P13" i="30"/>
  <c r="O35" i="43"/>
  <c r="P34" i="43"/>
  <c r="P36" i="43" s="1"/>
  <c r="B40" i="43" s="1"/>
  <c r="L41" i="43" s="1"/>
  <c r="P44" i="43"/>
  <c r="P37" i="43"/>
  <c r="P25" i="43"/>
  <c r="O16" i="43"/>
  <c r="O45" i="42"/>
  <c r="G49" i="42"/>
  <c r="P44" i="42"/>
  <c r="P37" i="42"/>
  <c r="G52" i="42"/>
  <c r="O23" i="42"/>
  <c r="R30" i="40"/>
  <c r="O127" i="41"/>
  <c r="J28" i="40"/>
  <c r="R28" i="40" s="1"/>
  <c r="G126" i="41"/>
  <c r="P124" i="41"/>
  <c r="P126" i="41" s="1"/>
  <c r="P128" i="41" s="1"/>
  <c r="O148" i="41"/>
  <c r="P147" i="41"/>
  <c r="M171" i="41"/>
  <c r="P96" i="41"/>
  <c r="P94" i="41"/>
  <c r="O30" i="41"/>
  <c r="G59" i="41"/>
  <c r="G66" i="7"/>
  <c r="O16" i="38"/>
  <c r="G65" i="7"/>
  <c r="P60" i="7"/>
  <c r="G80" i="7" s="1"/>
  <c r="G62" i="7"/>
  <c r="R16" i="40"/>
  <c r="G29" i="7"/>
  <c r="P29" i="7" s="1"/>
  <c r="P31" i="7" s="1"/>
  <c r="P16" i="7"/>
  <c r="P18" i="7" s="1"/>
  <c r="P48" i="8"/>
  <c r="P50" i="8" s="1"/>
  <c r="B54" i="8" s="1"/>
  <c r="E53" i="8" s="1"/>
  <c r="L77" i="4"/>
  <c r="M77" i="4"/>
  <c r="G79" i="4"/>
  <c r="P60" i="4"/>
  <c r="P62" i="4" s="1"/>
  <c r="G87" i="4"/>
  <c r="P13" i="4"/>
  <c r="G36" i="4"/>
  <c r="P78" i="2"/>
  <c r="P80" i="2" s="1"/>
  <c r="B84" i="2" s="1"/>
  <c r="J83" i="2" s="1"/>
  <c r="P42" i="2"/>
  <c r="G93" i="2"/>
  <c r="P13" i="2"/>
  <c r="G49" i="14"/>
  <c r="P48" i="10"/>
  <c r="P50" i="10" s="1"/>
  <c r="N55" i="10" s="1"/>
  <c r="G10" i="36"/>
  <c r="G29" i="14"/>
  <c r="G38" i="14" s="1"/>
  <c r="J64" i="40"/>
  <c r="G43" i="28"/>
  <c r="G23" i="28"/>
  <c r="G25" i="28" s="1"/>
  <c r="P41" i="28"/>
  <c r="G51" i="28"/>
  <c r="G44" i="28"/>
  <c r="G46" i="28" s="1"/>
  <c r="J33" i="40"/>
  <c r="R33" i="40" s="1"/>
  <c r="O42" i="28"/>
  <c r="P44" i="28" s="1"/>
  <c r="O21" i="28"/>
  <c r="O66" i="28"/>
  <c r="G73" i="28"/>
  <c r="G21" i="36"/>
  <c r="Q53" i="28"/>
  <c r="P55" i="28"/>
  <c r="P57" i="28" s="1"/>
  <c r="B61" i="28" s="1"/>
  <c r="R35" i="40"/>
  <c r="G50" i="28"/>
  <c r="G59" i="28" s="1"/>
  <c r="P34" i="28"/>
  <c r="G39" i="28"/>
  <c r="G36" i="28"/>
  <c r="O30" i="28"/>
  <c r="G15" i="28"/>
  <c r="R31" i="40"/>
  <c r="M66" i="30"/>
  <c r="B63" i="10"/>
  <c r="C69" i="28"/>
  <c r="C70" i="28" s="1"/>
  <c r="C21" i="36"/>
  <c r="P21" i="36" s="1"/>
  <c r="P65" i="28"/>
  <c r="H99" i="2"/>
  <c r="H101" i="2" s="1"/>
  <c r="H82" i="2"/>
  <c r="E100" i="11"/>
  <c r="E16" i="36" s="1"/>
  <c r="H79" i="4"/>
  <c r="M63" i="10"/>
  <c r="D16" i="36"/>
  <c r="B79" i="4"/>
  <c r="N94" i="12"/>
  <c r="F24" i="36"/>
  <c r="O12" i="38"/>
  <c r="D10" i="36"/>
  <c r="D48" i="14"/>
  <c r="D49" i="14"/>
  <c r="J101" i="11"/>
  <c r="B55" i="24"/>
  <c r="O59" i="12"/>
  <c r="G75" i="12"/>
  <c r="P59" i="12"/>
  <c r="G61" i="12"/>
  <c r="G63" i="12" s="1"/>
  <c r="E67" i="30"/>
  <c r="E66" i="30"/>
  <c r="P13" i="33"/>
  <c r="G29" i="33"/>
  <c r="J66" i="40"/>
  <c r="R66" i="40" s="1"/>
  <c r="G15" i="33"/>
  <c r="I79" i="4"/>
  <c r="E12" i="36"/>
  <c r="E63" i="30"/>
  <c r="N48" i="14"/>
  <c r="N49" i="14" s="1"/>
  <c r="N10" i="36"/>
  <c r="O59" i="10"/>
  <c r="I93" i="2"/>
  <c r="I12" i="36"/>
  <c r="J48" i="42"/>
  <c r="J24" i="36" s="1"/>
  <c r="I101" i="11"/>
  <c r="I16" i="36"/>
  <c r="E125" i="32"/>
  <c r="E132" i="32" s="1"/>
  <c r="F123" i="32"/>
  <c r="P32" i="33"/>
  <c r="F34" i="33"/>
  <c r="F44" i="33"/>
  <c r="E24" i="38"/>
  <c r="O24" i="38" s="1"/>
  <c r="F38" i="33"/>
  <c r="B93" i="4"/>
  <c r="B95" i="4" s="1"/>
  <c r="J79" i="4"/>
  <c r="H93" i="12"/>
  <c r="H14" i="36" s="1"/>
  <c r="D107" i="11"/>
  <c r="D109" i="11" s="1"/>
  <c r="O30" i="38"/>
  <c r="O45" i="14"/>
  <c r="H44" i="30"/>
  <c r="L65" i="21"/>
  <c r="L66" i="21" s="1"/>
  <c r="P60" i="21"/>
  <c r="E79" i="4"/>
  <c r="N79" i="4"/>
  <c r="K79" i="4"/>
  <c r="M79" i="4"/>
  <c r="P77" i="4"/>
  <c r="C79" i="4"/>
  <c r="D79" i="4"/>
  <c r="P23" i="10"/>
  <c r="O23" i="10"/>
  <c r="P36" i="2"/>
  <c r="F79" i="4"/>
  <c r="K69" i="28"/>
  <c r="K70" i="28" s="1"/>
  <c r="I94" i="12"/>
  <c r="E100" i="12"/>
  <c r="E93" i="2"/>
  <c r="I41" i="43"/>
  <c r="H39" i="43"/>
  <c r="P27" i="6"/>
  <c r="P29" i="6" s="1"/>
  <c r="B33" i="6" s="1"/>
  <c r="P32" i="6" s="1"/>
  <c r="P30" i="6"/>
  <c r="G45" i="6"/>
  <c r="K35" i="38"/>
  <c r="L49" i="43"/>
  <c r="E124" i="32"/>
  <c r="F124" i="32" s="1"/>
  <c r="B86" i="32"/>
  <c r="B87" i="32" s="1"/>
  <c r="B88" i="32" s="1"/>
  <c r="B89" i="32" s="1"/>
  <c r="P51" i="30"/>
  <c r="L53" i="30"/>
  <c r="L55" i="30" s="1"/>
  <c r="L64" i="30"/>
  <c r="L66" i="30" s="1"/>
  <c r="L59" i="30"/>
  <c r="D63" i="30"/>
  <c r="D52" i="30"/>
  <c r="I77" i="4"/>
  <c r="K77" i="4"/>
  <c r="P48" i="43"/>
  <c r="G66" i="10"/>
  <c r="L11" i="36"/>
  <c r="K99" i="2"/>
  <c r="K101" i="2" s="1"/>
  <c r="P61" i="30"/>
  <c r="G49" i="43"/>
  <c r="F35" i="38"/>
  <c r="O35" i="38" s="1"/>
  <c r="P29" i="43"/>
  <c r="P38" i="43" s="1"/>
  <c r="I52" i="11"/>
  <c r="L79" i="4"/>
  <c r="M52" i="30"/>
  <c r="M58" i="30"/>
  <c r="M67" i="30" s="1"/>
  <c r="G56" i="22"/>
  <c r="J77" i="4"/>
  <c r="N77" i="4"/>
  <c r="P53" i="10"/>
  <c r="Q46" i="10"/>
  <c r="H93" i="2"/>
  <c r="M11" i="36"/>
  <c r="O17" i="38"/>
  <c r="H62" i="10"/>
  <c r="H63" i="10" s="1"/>
  <c r="M45" i="2"/>
  <c r="M100" i="12"/>
  <c r="M102" i="12" s="1"/>
  <c r="J41" i="6"/>
  <c r="J42" i="6"/>
  <c r="J17" i="36"/>
  <c r="P37" i="6"/>
  <c r="H48" i="14"/>
  <c r="H49" i="14" s="1"/>
  <c r="H10" i="36"/>
  <c r="K48" i="42"/>
  <c r="K24" i="36" s="1"/>
  <c r="O30" i="42"/>
  <c r="K62" i="10"/>
  <c r="K63" i="10"/>
  <c r="F93" i="2"/>
  <c r="O30" i="7"/>
  <c r="P30" i="7"/>
  <c r="P32" i="7" s="1"/>
  <c r="R5" i="40"/>
  <c r="D70" i="28"/>
  <c r="M63" i="8"/>
  <c r="P43" i="30"/>
  <c r="B62" i="26"/>
  <c r="K62" i="8"/>
  <c r="K63" i="8" s="1"/>
  <c r="E49" i="43"/>
  <c r="F42" i="6"/>
  <c r="J86" i="4"/>
  <c r="J13" i="36" s="1"/>
  <c r="J87" i="4"/>
  <c r="M42" i="6"/>
  <c r="P36" i="7"/>
  <c r="P38" i="7" s="1"/>
  <c r="D67" i="30"/>
  <c r="J55" i="24"/>
  <c r="J56" i="24" s="1"/>
  <c r="E50" i="23"/>
  <c r="O73" i="7"/>
  <c r="K77" i="7"/>
  <c r="R54" i="40"/>
  <c r="R49" i="40"/>
  <c r="C15" i="36"/>
  <c r="O30" i="33"/>
  <c r="M50" i="23"/>
  <c r="M51" i="23" s="1"/>
  <c r="O23" i="6"/>
  <c r="E167" i="41"/>
  <c r="E168" i="41" s="1"/>
  <c r="P74" i="30"/>
  <c r="O59" i="26"/>
  <c r="R45" i="40"/>
  <c r="O38" i="6"/>
  <c r="G18" i="33"/>
  <c r="R48" i="40"/>
  <c r="F37" i="33"/>
  <c r="I48" i="33"/>
  <c r="I49" i="33" s="1"/>
  <c r="D48" i="33"/>
  <c r="R87" i="40"/>
  <c r="R22" i="40"/>
  <c r="R14" i="40"/>
  <c r="J51" i="23"/>
  <c r="R29" i="40"/>
  <c r="R27" i="40"/>
  <c r="F125" i="32"/>
  <c r="D127" i="32" s="1"/>
  <c r="E131" i="32"/>
  <c r="E133" i="32" s="1"/>
  <c r="M66" i="21"/>
  <c r="K55" i="24"/>
  <c r="K56" i="24" s="1"/>
  <c r="R84" i="40"/>
  <c r="C94" i="12"/>
  <c r="N55" i="22"/>
  <c r="N56" i="22" s="1"/>
  <c r="D65" i="21"/>
  <c r="D66" i="21" s="1"/>
  <c r="R70" i="40"/>
  <c r="R68" i="40"/>
  <c r="R21" i="40"/>
  <c r="C66" i="21"/>
  <c r="R19" i="40"/>
  <c r="C59" i="30"/>
  <c r="R44" i="40"/>
  <c r="J99" i="2"/>
  <c r="J101" i="2" s="1"/>
  <c r="C93" i="2"/>
  <c r="R67" i="40"/>
  <c r="R24" i="40"/>
  <c r="P52" i="30" l="1"/>
  <c r="P54" i="30" s="1"/>
  <c r="J103" i="11"/>
  <c r="P15" i="42"/>
  <c r="P17" i="42" s="1"/>
  <c r="O54" i="4"/>
  <c r="P15" i="11"/>
  <c r="P17" i="11" s="1"/>
  <c r="J170" i="41"/>
  <c r="J172" i="41" s="1"/>
  <c r="P15" i="8"/>
  <c r="P17" i="8" s="1"/>
  <c r="P22" i="43"/>
  <c r="P24" i="43" s="1"/>
  <c r="O37" i="11"/>
  <c r="P36" i="8"/>
  <c r="P38" i="8" s="1"/>
  <c r="P32" i="11"/>
  <c r="P63" i="11"/>
  <c r="P22" i="7"/>
  <c r="P24" i="7" s="1"/>
  <c r="P95" i="41"/>
  <c r="P97" i="41" s="1"/>
  <c r="G46" i="6"/>
  <c r="P15" i="14"/>
  <c r="P17" i="14" s="1"/>
  <c r="P25" i="4"/>
  <c r="P140" i="41"/>
  <c r="P142" i="41" s="1"/>
  <c r="P25" i="24"/>
  <c r="G89" i="4"/>
  <c r="G91" i="4" s="1"/>
  <c r="P18" i="24"/>
  <c r="P36" i="21"/>
  <c r="P38" i="21" s="1"/>
  <c r="P22" i="4"/>
  <c r="P24" i="4" s="1"/>
  <c r="P39" i="41"/>
  <c r="P18" i="33"/>
  <c r="P15" i="43"/>
  <c r="P17" i="43" s="1"/>
  <c r="P15" i="10"/>
  <c r="P17" i="10" s="1"/>
  <c r="P32" i="10"/>
  <c r="O16" i="6"/>
  <c r="P15" i="41"/>
  <c r="P17" i="41" s="1"/>
  <c r="P81" i="41"/>
  <c r="P83" i="41" s="1"/>
  <c r="G99" i="2"/>
  <c r="G101" i="2" s="1"/>
  <c r="O30" i="2"/>
  <c r="O68" i="12"/>
  <c r="J89" i="4"/>
  <c r="J91" i="4" s="1"/>
  <c r="H59" i="22"/>
  <c r="H61" i="22" s="1"/>
  <c r="O16" i="4"/>
  <c r="O61" i="4"/>
  <c r="O23" i="4"/>
  <c r="P77" i="41"/>
  <c r="O120" i="41"/>
  <c r="G51" i="42"/>
  <c r="G53" i="42" s="1"/>
  <c r="P18" i="43"/>
  <c r="P32" i="4"/>
  <c r="O23" i="7"/>
  <c r="P46" i="41"/>
  <c r="P22" i="24"/>
  <c r="P24" i="24" s="1"/>
  <c r="P25" i="10"/>
  <c r="P53" i="30"/>
  <c r="P55" i="30" s="1"/>
  <c r="O37" i="28"/>
  <c r="R64" i="40"/>
  <c r="P22" i="12"/>
  <c r="P24" i="12" s="1"/>
  <c r="G174" i="41"/>
  <c r="G176" i="41" s="1"/>
  <c r="P25" i="30"/>
  <c r="P29" i="21"/>
  <c r="P31" i="21" s="1"/>
  <c r="N51" i="23"/>
  <c r="P38" i="23"/>
  <c r="P50" i="23"/>
  <c r="P51" i="23" s="1"/>
  <c r="P41" i="24"/>
  <c r="P43" i="24" s="1"/>
  <c r="B47" i="24" s="1"/>
  <c r="M46" i="24" s="1"/>
  <c r="P29" i="24"/>
  <c r="P31" i="24" s="1"/>
  <c r="P36" i="24"/>
  <c r="P45" i="24" s="1"/>
  <c r="P15" i="24"/>
  <c r="P17" i="24" s="1"/>
  <c r="H59" i="24"/>
  <c r="H61" i="24" s="1"/>
  <c r="O16" i="24"/>
  <c r="G56" i="24"/>
  <c r="P51" i="24"/>
  <c r="P32" i="24"/>
  <c r="P41" i="22"/>
  <c r="P43" i="22" s="1"/>
  <c r="B47" i="22" s="1"/>
  <c r="C46" i="22" s="1"/>
  <c r="P44" i="22"/>
  <c r="O42" i="22"/>
  <c r="R82" i="40"/>
  <c r="O23" i="22"/>
  <c r="P30" i="22"/>
  <c r="P32" i="22" s="1"/>
  <c r="O30" i="22"/>
  <c r="O36" i="22"/>
  <c r="R81" i="40"/>
  <c r="P16" i="22"/>
  <c r="P18" i="22" s="1"/>
  <c r="O16" i="22"/>
  <c r="P35" i="22"/>
  <c r="P45" i="22" s="1"/>
  <c r="O50" i="21"/>
  <c r="P49" i="21"/>
  <c r="P51" i="21" s="1"/>
  <c r="B55" i="21" s="1"/>
  <c r="F54" i="21" s="1"/>
  <c r="O37" i="21"/>
  <c r="P37" i="21"/>
  <c r="P39" i="21" s="1"/>
  <c r="R62" i="40"/>
  <c r="O30" i="21"/>
  <c r="P30" i="21"/>
  <c r="P32" i="21" s="1"/>
  <c r="P22" i="21"/>
  <c r="P24" i="21" s="1"/>
  <c r="O23" i="21"/>
  <c r="P23" i="21"/>
  <c r="P25" i="21" s="1"/>
  <c r="O44" i="21"/>
  <c r="P16" i="21"/>
  <c r="P18" i="21" s="1"/>
  <c r="O16" i="21"/>
  <c r="O49" i="26"/>
  <c r="O26" i="38"/>
  <c r="G67" i="26"/>
  <c r="P48" i="26"/>
  <c r="P50" i="26" s="1"/>
  <c r="B54" i="26" s="1"/>
  <c r="I55" i="26" s="1"/>
  <c r="P51" i="26"/>
  <c r="F20" i="36"/>
  <c r="F62" i="26"/>
  <c r="F63" i="26" s="1"/>
  <c r="E62" i="26"/>
  <c r="P62" i="26" s="1"/>
  <c r="E63" i="26"/>
  <c r="E20" i="36"/>
  <c r="P20" i="36" s="1"/>
  <c r="Q46" i="26"/>
  <c r="P58" i="26"/>
  <c r="K174" i="41"/>
  <c r="K176" i="41" s="1"/>
  <c r="I174" i="41"/>
  <c r="I176" i="41" s="1"/>
  <c r="O82" i="41"/>
  <c r="O37" i="41"/>
  <c r="P43" i="41"/>
  <c r="P45" i="41" s="1"/>
  <c r="P36" i="41"/>
  <c r="P38" i="41" s="1"/>
  <c r="O56" i="41"/>
  <c r="P110" i="41"/>
  <c r="R26" i="40"/>
  <c r="R23" i="40"/>
  <c r="R25" i="40"/>
  <c r="O10" i="38"/>
  <c r="O20" i="38"/>
  <c r="O59" i="30"/>
  <c r="P45" i="30"/>
  <c r="E45" i="30"/>
  <c r="L45" i="30"/>
  <c r="K45" i="30"/>
  <c r="M47" i="30"/>
  <c r="D47" i="30"/>
  <c r="F47" i="30"/>
  <c r="B45" i="30"/>
  <c r="L47" i="30"/>
  <c r="N45" i="30"/>
  <c r="N47" i="30"/>
  <c r="C47" i="30"/>
  <c r="I45" i="30"/>
  <c r="K47" i="30"/>
  <c r="E47" i="30"/>
  <c r="D45" i="30"/>
  <c r="J45" i="30"/>
  <c r="P32" i="30"/>
  <c r="K41" i="43"/>
  <c r="H41" i="43"/>
  <c r="D41" i="43"/>
  <c r="P39" i="43"/>
  <c r="F39" i="43"/>
  <c r="J39" i="43"/>
  <c r="F41" i="43"/>
  <c r="C39" i="43"/>
  <c r="D39" i="43"/>
  <c r="B39" i="43"/>
  <c r="N41" i="43"/>
  <c r="E41" i="43"/>
  <c r="G41" i="43"/>
  <c r="I39" i="43"/>
  <c r="E39" i="43"/>
  <c r="Q32" i="42"/>
  <c r="P34" i="42"/>
  <c r="P36" i="42" s="1"/>
  <c r="B40" i="42" s="1"/>
  <c r="L48" i="42"/>
  <c r="L24" i="36" s="1"/>
  <c r="P24" i="36" s="1"/>
  <c r="L49" i="42"/>
  <c r="K49" i="42"/>
  <c r="P29" i="42"/>
  <c r="P38" i="42" s="1"/>
  <c r="O16" i="42"/>
  <c r="P16" i="42"/>
  <c r="P18" i="42" s="1"/>
  <c r="P44" i="33"/>
  <c r="N48" i="33"/>
  <c r="N49" i="33" s="1"/>
  <c r="N23" i="36"/>
  <c r="M48" i="33"/>
  <c r="M49" i="33" s="1"/>
  <c r="M23" i="36"/>
  <c r="K23" i="36"/>
  <c r="K48" i="33"/>
  <c r="K49" i="33" s="1"/>
  <c r="O35" i="33"/>
  <c r="P153" i="41"/>
  <c r="P155" i="41" s="1"/>
  <c r="O163" i="41"/>
  <c r="M168" i="41"/>
  <c r="P156" i="41"/>
  <c r="O108" i="41"/>
  <c r="P107" i="41"/>
  <c r="P109" i="41" s="1"/>
  <c r="B113" i="41" s="1"/>
  <c r="M114" i="41" s="1"/>
  <c r="O11" i="38"/>
  <c r="P98" i="41"/>
  <c r="O103" i="41"/>
  <c r="P89" i="41"/>
  <c r="P91" i="41" s="1"/>
  <c r="O75" i="41"/>
  <c r="N174" i="41"/>
  <c r="N176" i="41" s="1"/>
  <c r="P68" i="41"/>
  <c r="P70" i="41" s="1"/>
  <c r="M170" i="41"/>
  <c r="M172" i="41" s="1"/>
  <c r="M36" i="38"/>
  <c r="N167" i="41"/>
  <c r="N19" i="36" s="1"/>
  <c r="P55" i="41"/>
  <c r="P57" i="41" s="1"/>
  <c r="B61" i="41" s="1"/>
  <c r="M60" i="41" s="1"/>
  <c r="P152" i="41"/>
  <c r="P154" i="41" s="1"/>
  <c r="B158" i="41" s="1"/>
  <c r="M159" i="41" s="1"/>
  <c r="P141" i="41"/>
  <c r="P143" i="41" s="1"/>
  <c r="C174" i="41"/>
  <c r="C176" i="41" s="1"/>
  <c r="G168" i="41"/>
  <c r="P102" i="41"/>
  <c r="P111" i="41" s="1"/>
  <c r="P84" i="41"/>
  <c r="P162" i="41"/>
  <c r="P170" i="41" s="1"/>
  <c r="F19" i="36"/>
  <c r="Q53" i="41"/>
  <c r="D168" i="41"/>
  <c r="H174" i="41"/>
  <c r="H176" i="41" s="1"/>
  <c r="R20" i="40"/>
  <c r="D174" i="41"/>
  <c r="D176" i="41" s="1"/>
  <c r="P50" i="41"/>
  <c r="P59" i="41" s="1"/>
  <c r="F174" i="41"/>
  <c r="F176" i="41" s="1"/>
  <c r="P23" i="41"/>
  <c r="P25" i="41" s="1"/>
  <c r="O23" i="41"/>
  <c r="O51" i="41"/>
  <c r="E59" i="41"/>
  <c r="E174" i="41"/>
  <c r="E176" i="41" s="1"/>
  <c r="M59" i="41"/>
  <c r="M174" i="41"/>
  <c r="M176" i="41" s="1"/>
  <c r="L174" i="41"/>
  <c r="L176" i="41" s="1"/>
  <c r="L59" i="41"/>
  <c r="P16" i="41"/>
  <c r="P18" i="41" s="1"/>
  <c r="O16" i="41"/>
  <c r="P63" i="7"/>
  <c r="P65" i="7" s="1"/>
  <c r="M76" i="7"/>
  <c r="M18" i="36"/>
  <c r="N76" i="7"/>
  <c r="N77" i="7" s="1"/>
  <c r="N18" i="36"/>
  <c r="P18" i="36"/>
  <c r="O51" i="7"/>
  <c r="P53" i="7"/>
  <c r="G79" i="7"/>
  <c r="P50" i="7"/>
  <c r="P52" i="7" s="1"/>
  <c r="O58" i="7"/>
  <c r="P57" i="7"/>
  <c r="P66" i="7" s="1"/>
  <c r="L17" i="36"/>
  <c r="P17" i="36" s="1"/>
  <c r="L41" i="6"/>
  <c r="L42" i="6" s="1"/>
  <c r="P22" i="6"/>
  <c r="P31" i="6" s="1"/>
  <c r="P87" i="11"/>
  <c r="P89" i="11" s="1"/>
  <c r="O97" i="11"/>
  <c r="M101" i="11"/>
  <c r="G104" i="11"/>
  <c r="K101" i="11"/>
  <c r="N101" i="11"/>
  <c r="P86" i="11"/>
  <c r="P88" i="11" s="1"/>
  <c r="B92" i="11" s="1"/>
  <c r="N91" i="11" s="1"/>
  <c r="P96" i="11"/>
  <c r="M103" i="11" s="1"/>
  <c r="P77" i="11"/>
  <c r="R9" i="40"/>
  <c r="K107" i="11"/>
  <c r="K109" i="11" s="1"/>
  <c r="F107" i="11"/>
  <c r="B107" i="11"/>
  <c r="B109" i="11" s="1"/>
  <c r="O82" i="11"/>
  <c r="P68" i="11"/>
  <c r="P70" i="11" s="1"/>
  <c r="G103" i="11"/>
  <c r="G105" i="11" s="1"/>
  <c r="P67" i="11"/>
  <c r="P69" i="11" s="1"/>
  <c r="P81" i="11"/>
  <c r="P90" i="11" s="1"/>
  <c r="R7" i="40"/>
  <c r="G36" i="38"/>
  <c r="F109" i="11"/>
  <c r="F101" i="11"/>
  <c r="F16" i="36"/>
  <c r="P100" i="11"/>
  <c r="M104" i="11" s="1"/>
  <c r="P16" i="36"/>
  <c r="J104" i="11"/>
  <c r="P48" i="11"/>
  <c r="P50" i="11" s="1"/>
  <c r="B54" i="11" s="1"/>
  <c r="P53" i="11" s="1"/>
  <c r="H100" i="11"/>
  <c r="H16" i="36" s="1"/>
  <c r="P49" i="11"/>
  <c r="P51" i="11" s="1"/>
  <c r="O49" i="11"/>
  <c r="E52" i="11"/>
  <c r="G107" i="11"/>
  <c r="G109" i="11" s="1"/>
  <c r="J105" i="11"/>
  <c r="R4" i="40"/>
  <c r="L107" i="11"/>
  <c r="L109" i="11" s="1"/>
  <c r="P43" i="11"/>
  <c r="P52" i="11" s="1"/>
  <c r="M107" i="11"/>
  <c r="M109" i="11" s="1"/>
  <c r="N107" i="11"/>
  <c r="N109" i="11" s="1"/>
  <c r="F52" i="11"/>
  <c r="P16" i="11"/>
  <c r="P18" i="11" s="1"/>
  <c r="O16" i="11"/>
  <c r="H52" i="11"/>
  <c r="H107" i="11"/>
  <c r="H109" i="11" s="1"/>
  <c r="B53" i="8"/>
  <c r="Q46" i="8"/>
  <c r="E15" i="36"/>
  <c r="P51" i="8"/>
  <c r="P29" i="8"/>
  <c r="P31" i="8" s="1"/>
  <c r="R58" i="40"/>
  <c r="G65" i="8"/>
  <c r="G67" i="8" s="1"/>
  <c r="R56" i="40"/>
  <c r="O16" i="8"/>
  <c r="O44" i="8"/>
  <c r="P43" i="8"/>
  <c r="P52" i="8" s="1"/>
  <c r="P70" i="12"/>
  <c r="J100" i="12"/>
  <c r="G15" i="36"/>
  <c r="G62" i="8"/>
  <c r="P62" i="8" s="1"/>
  <c r="G63" i="8"/>
  <c r="F94" i="12"/>
  <c r="H100" i="12"/>
  <c r="H102" i="12" s="1"/>
  <c r="P58" i="8"/>
  <c r="R74" i="40"/>
  <c r="P15" i="12"/>
  <c r="P17" i="12" s="1"/>
  <c r="R73" i="40"/>
  <c r="E55" i="8"/>
  <c r="L55" i="8"/>
  <c r="P22" i="8"/>
  <c r="P24" i="8" s="1"/>
  <c r="N100" i="12"/>
  <c r="N102" i="12" s="1"/>
  <c r="O37" i="12"/>
  <c r="D53" i="8"/>
  <c r="O16" i="12"/>
  <c r="O23" i="8"/>
  <c r="P23" i="8"/>
  <c r="P25" i="8" s="1"/>
  <c r="G100" i="12"/>
  <c r="G102" i="12" s="1"/>
  <c r="M94" i="12"/>
  <c r="J102" i="12"/>
  <c r="C36" i="38"/>
  <c r="R75" i="40"/>
  <c r="O90" i="12"/>
  <c r="P80" i="12"/>
  <c r="P82" i="12" s="1"/>
  <c r="O80" i="12"/>
  <c r="P79" i="12"/>
  <c r="P81" i="12" s="1"/>
  <c r="B85" i="12" s="1"/>
  <c r="N84" i="12" s="1"/>
  <c r="Q77" i="12"/>
  <c r="E102" i="12"/>
  <c r="P67" i="12"/>
  <c r="P69" i="12" s="1"/>
  <c r="R72" i="40"/>
  <c r="O75" i="12"/>
  <c r="G96" i="12"/>
  <c r="G98" i="12" s="1"/>
  <c r="F100" i="12"/>
  <c r="F102" i="12" s="1"/>
  <c r="C100" i="12"/>
  <c r="C102" i="12" s="1"/>
  <c r="C83" i="12"/>
  <c r="P74" i="12"/>
  <c r="P83" i="12" s="1"/>
  <c r="O54" i="12"/>
  <c r="P54" i="12"/>
  <c r="P56" i="12" s="1"/>
  <c r="R71" i="40"/>
  <c r="P89" i="12"/>
  <c r="M96" i="12" s="1"/>
  <c r="L94" i="12"/>
  <c r="E94" i="12"/>
  <c r="L36" i="38"/>
  <c r="G94" i="12"/>
  <c r="D14" i="36"/>
  <c r="D26" i="36" s="1"/>
  <c r="D94" i="12"/>
  <c r="O22" i="38"/>
  <c r="B36" i="38"/>
  <c r="Q39" i="12"/>
  <c r="P41" i="12"/>
  <c r="P43" i="12" s="1"/>
  <c r="B47" i="12" s="1"/>
  <c r="P46" i="12" s="1"/>
  <c r="J97" i="12"/>
  <c r="N97" i="12" s="1"/>
  <c r="I36" i="38"/>
  <c r="K93" i="12"/>
  <c r="K14" i="36" s="1"/>
  <c r="J36" i="38"/>
  <c r="J94" i="12"/>
  <c r="P42" i="12"/>
  <c r="P44" i="12" s="1"/>
  <c r="O42" i="12"/>
  <c r="I26" i="36"/>
  <c r="P45" i="12"/>
  <c r="B93" i="12"/>
  <c r="C14" i="36" s="1"/>
  <c r="I45" i="12"/>
  <c r="I100" i="12"/>
  <c r="I102" i="12" s="1"/>
  <c r="P30" i="12"/>
  <c r="P32" i="12" s="1"/>
  <c r="O30" i="12"/>
  <c r="O23" i="12"/>
  <c r="P23" i="12"/>
  <c r="P25" i="12" s="1"/>
  <c r="J96" i="12"/>
  <c r="L45" i="12"/>
  <c r="L100" i="12"/>
  <c r="L102" i="12" s="1"/>
  <c r="D100" i="12"/>
  <c r="D102" i="12" s="1"/>
  <c r="D45" i="12"/>
  <c r="D93" i="4"/>
  <c r="D95" i="4" s="1"/>
  <c r="P67" i="4"/>
  <c r="P76" i="4" s="1"/>
  <c r="E93" i="4"/>
  <c r="E95" i="4" s="1"/>
  <c r="O83" i="4"/>
  <c r="P82" i="4"/>
  <c r="M89" i="4" s="1"/>
  <c r="J90" i="4"/>
  <c r="O90" i="4" s="1"/>
  <c r="M86" i="4"/>
  <c r="M13" i="36" s="1"/>
  <c r="M87" i="4"/>
  <c r="P44" i="4"/>
  <c r="N86" i="4"/>
  <c r="N13" i="36" s="1"/>
  <c r="N87" i="4"/>
  <c r="P41" i="4"/>
  <c r="P43" i="4" s="1"/>
  <c r="B47" i="4" s="1"/>
  <c r="D48" i="4" s="1"/>
  <c r="F86" i="4"/>
  <c r="F87" i="4" s="1"/>
  <c r="B87" i="4"/>
  <c r="I95" i="2"/>
  <c r="I97" i="2" s="1"/>
  <c r="P37" i="10"/>
  <c r="P39" i="10" s="1"/>
  <c r="R52" i="40"/>
  <c r="P16" i="2"/>
  <c r="G51" i="14"/>
  <c r="F45" i="2"/>
  <c r="P29" i="2"/>
  <c r="P31" i="2" s="1"/>
  <c r="F93" i="4"/>
  <c r="F95" i="4" s="1"/>
  <c r="O37" i="4"/>
  <c r="L93" i="4"/>
  <c r="L95" i="4" s="1"/>
  <c r="N45" i="4"/>
  <c r="N93" i="4"/>
  <c r="N95" i="4" s="1"/>
  <c r="H93" i="4"/>
  <c r="H95" i="4" s="1"/>
  <c r="H45" i="4"/>
  <c r="P36" i="4"/>
  <c r="P45" i="4" s="1"/>
  <c r="M45" i="4"/>
  <c r="M93" i="4"/>
  <c r="M95" i="4" s="1"/>
  <c r="P81" i="2"/>
  <c r="K36" i="38"/>
  <c r="F96" i="2"/>
  <c r="O19" i="38"/>
  <c r="O68" i="2"/>
  <c r="O61" i="2"/>
  <c r="P54" i="2"/>
  <c r="P56" i="2" s="1"/>
  <c r="O54" i="2"/>
  <c r="R36" i="40"/>
  <c r="F95" i="2"/>
  <c r="P53" i="2"/>
  <c r="P55" i="2" s="1"/>
  <c r="P73" i="2"/>
  <c r="P82" i="2" s="1"/>
  <c r="M85" i="2"/>
  <c r="B85" i="2"/>
  <c r="M83" i="2"/>
  <c r="O89" i="2"/>
  <c r="P41" i="2"/>
  <c r="P43" i="2" s="1"/>
  <c r="B47" i="2" s="1"/>
  <c r="D83" i="2" s="1"/>
  <c r="P45" i="2"/>
  <c r="Q39" i="2"/>
  <c r="J26" i="36"/>
  <c r="K92" i="2"/>
  <c r="L93" i="2"/>
  <c r="P44" i="2"/>
  <c r="C101" i="2"/>
  <c r="P88" i="2"/>
  <c r="L95" i="2" s="1"/>
  <c r="H85" i="2"/>
  <c r="N83" i="2"/>
  <c r="E85" i="2"/>
  <c r="F85" i="2"/>
  <c r="J85" i="2"/>
  <c r="N85" i="2"/>
  <c r="K83" i="2"/>
  <c r="K85" i="2"/>
  <c r="N99" i="2"/>
  <c r="N101" i="2" s="1"/>
  <c r="D45" i="2"/>
  <c r="D99" i="2"/>
  <c r="D101" i="2" s="1"/>
  <c r="L99" i="2"/>
  <c r="L101" i="2" s="1"/>
  <c r="P18" i="2"/>
  <c r="E45" i="2"/>
  <c r="E99" i="2"/>
  <c r="E101" i="2" s="1"/>
  <c r="O29" i="38"/>
  <c r="F62" i="10"/>
  <c r="F63" i="10" s="1"/>
  <c r="F11" i="36"/>
  <c r="P11" i="36" s="1"/>
  <c r="G65" i="10"/>
  <c r="O44" i="10"/>
  <c r="P43" i="10"/>
  <c r="P52" i="10" s="1"/>
  <c r="P16" i="10"/>
  <c r="P18" i="10" s="1"/>
  <c r="O35" i="14"/>
  <c r="Q32" i="14"/>
  <c r="P34" i="14"/>
  <c r="P36" i="14" s="1"/>
  <c r="B40" i="14" s="1"/>
  <c r="D39" i="14" s="1"/>
  <c r="O25" i="38"/>
  <c r="G53" i="14"/>
  <c r="P44" i="14"/>
  <c r="P37" i="14"/>
  <c r="K48" i="14"/>
  <c r="K49" i="14" s="1"/>
  <c r="K10" i="36"/>
  <c r="L10" i="36"/>
  <c r="L48" i="14"/>
  <c r="L49" i="14" s="1"/>
  <c r="L26" i="36"/>
  <c r="M10" i="36"/>
  <c r="M48" i="14"/>
  <c r="M49" i="14" s="1"/>
  <c r="P22" i="14"/>
  <c r="P24" i="14" s="1"/>
  <c r="O23" i="14"/>
  <c r="P23" i="14"/>
  <c r="P25" i="14" s="1"/>
  <c r="O30" i="14"/>
  <c r="P16" i="14"/>
  <c r="P18" i="14" s="1"/>
  <c r="O16" i="14"/>
  <c r="P29" i="14"/>
  <c r="P38" i="14" s="1"/>
  <c r="I62" i="28"/>
  <c r="B60" i="28"/>
  <c r="C60" i="28"/>
  <c r="D60" i="28"/>
  <c r="P56" i="28"/>
  <c r="P58" i="28" s="1"/>
  <c r="O56" i="28"/>
  <c r="O51" i="28"/>
  <c r="P32" i="28"/>
  <c r="P15" i="28"/>
  <c r="P17" i="28" s="1"/>
  <c r="P18" i="28"/>
  <c r="P43" i="28"/>
  <c r="P45" i="28" s="1"/>
  <c r="P46" i="28"/>
  <c r="P50" i="28"/>
  <c r="P59" i="28" s="1"/>
  <c r="O16" i="28"/>
  <c r="L40" i="23"/>
  <c r="C40" i="23"/>
  <c r="K40" i="23"/>
  <c r="L42" i="23"/>
  <c r="J42" i="23"/>
  <c r="N42" i="23"/>
  <c r="B40" i="23"/>
  <c r="K42" i="23"/>
  <c r="D42" i="23"/>
  <c r="H40" i="23"/>
  <c r="F42" i="23"/>
  <c r="G40" i="23"/>
  <c r="P40" i="23"/>
  <c r="C42" i="23"/>
  <c r="H42" i="23"/>
  <c r="I40" i="23"/>
  <c r="E42" i="23"/>
  <c r="J40" i="23"/>
  <c r="M40" i="23"/>
  <c r="D40" i="23"/>
  <c r="G42" i="23"/>
  <c r="N40" i="23"/>
  <c r="I42" i="23"/>
  <c r="E40" i="23"/>
  <c r="M42" i="23"/>
  <c r="B42" i="23"/>
  <c r="F40" i="23"/>
  <c r="P15" i="23"/>
  <c r="P17" i="23" s="1"/>
  <c r="H53" i="23"/>
  <c r="H55" i="23" s="1"/>
  <c r="P18" i="23"/>
  <c r="G39" i="23"/>
  <c r="P29" i="23"/>
  <c r="P39" i="23" s="1"/>
  <c r="N48" i="24"/>
  <c r="J48" i="24"/>
  <c r="B46" i="24"/>
  <c r="H46" i="24"/>
  <c r="E46" i="24"/>
  <c r="D48" i="24"/>
  <c r="J46" i="24"/>
  <c r="I46" i="24"/>
  <c r="P46" i="24"/>
  <c r="H69" i="21"/>
  <c r="H71" i="21" s="1"/>
  <c r="P15" i="21"/>
  <c r="P17" i="21" s="1"/>
  <c r="G53" i="21"/>
  <c r="P43" i="21"/>
  <c r="P53" i="21" s="1"/>
  <c r="G52" i="26"/>
  <c r="P43" i="26"/>
  <c r="P52" i="26" s="1"/>
  <c r="G22" i="36"/>
  <c r="P22" i="36" s="1"/>
  <c r="P78" i="30"/>
  <c r="P79" i="30" s="1"/>
  <c r="C45" i="30"/>
  <c r="H45" i="30"/>
  <c r="H47" i="30"/>
  <c r="F45" i="30"/>
  <c r="I47" i="30"/>
  <c r="M45" i="30"/>
  <c r="G47" i="30"/>
  <c r="G45" i="30"/>
  <c r="J47" i="30"/>
  <c r="P35" i="30"/>
  <c r="P44" i="30" s="1"/>
  <c r="G81" i="30"/>
  <c r="G83" i="30" s="1"/>
  <c r="P15" i="30"/>
  <c r="P17" i="30" s="1"/>
  <c r="P18" i="30"/>
  <c r="P49" i="43"/>
  <c r="G39" i="43"/>
  <c r="L39" i="43"/>
  <c r="M39" i="43"/>
  <c r="M41" i="43"/>
  <c r="N39" i="43"/>
  <c r="J41" i="43"/>
  <c r="K39" i="43"/>
  <c r="B41" i="43"/>
  <c r="G170" i="41"/>
  <c r="G172" i="41" s="1"/>
  <c r="P129" i="41"/>
  <c r="B60" i="41"/>
  <c r="I60" i="41"/>
  <c r="G81" i="7"/>
  <c r="P62" i="7"/>
  <c r="P64" i="7" s="1"/>
  <c r="B68" i="7" s="1"/>
  <c r="Q60" i="7"/>
  <c r="P53" i="8"/>
  <c r="H55" i="8"/>
  <c r="K53" i="8"/>
  <c r="N55" i="8"/>
  <c r="F53" i="8"/>
  <c r="M55" i="8"/>
  <c r="N53" i="8"/>
  <c r="H53" i="8"/>
  <c r="B55" i="8"/>
  <c r="F55" i="8"/>
  <c r="I55" i="8"/>
  <c r="D55" i="8"/>
  <c r="I53" i="8"/>
  <c r="L53" i="8"/>
  <c r="G53" i="8"/>
  <c r="K55" i="8"/>
  <c r="C53" i="8"/>
  <c r="G55" i="8"/>
  <c r="M53" i="8"/>
  <c r="J53" i="8"/>
  <c r="J55" i="8"/>
  <c r="O89" i="4"/>
  <c r="G93" i="4"/>
  <c r="G95" i="4" s="1"/>
  <c r="G45" i="4"/>
  <c r="P15" i="4"/>
  <c r="P17" i="4" s="1"/>
  <c r="P18" i="4"/>
  <c r="D85" i="2"/>
  <c r="L83" i="2"/>
  <c r="P83" i="2"/>
  <c r="B83" i="2"/>
  <c r="L85" i="2"/>
  <c r="I85" i="2"/>
  <c r="G85" i="2"/>
  <c r="C85" i="2"/>
  <c r="P15" i="2"/>
  <c r="P17" i="2" s="1"/>
  <c r="M55" i="10"/>
  <c r="D55" i="10"/>
  <c r="E55" i="10"/>
  <c r="K55" i="10"/>
  <c r="J55" i="10"/>
  <c r="B55" i="10"/>
  <c r="L55" i="10"/>
  <c r="F55" i="10"/>
  <c r="I55" i="10"/>
  <c r="H55" i="10"/>
  <c r="G26" i="36"/>
  <c r="G55" i="10"/>
  <c r="O44" i="28"/>
  <c r="P23" i="28"/>
  <c r="P25" i="28" s="1"/>
  <c r="O23" i="28"/>
  <c r="D62" i="28"/>
  <c r="C62" i="28"/>
  <c r="G62" i="28"/>
  <c r="N60" i="28"/>
  <c r="H60" i="28"/>
  <c r="K60" i="28"/>
  <c r="H62" i="28"/>
  <c r="K62" i="28"/>
  <c r="I60" i="28"/>
  <c r="J62" i="28"/>
  <c r="L60" i="28"/>
  <c r="E60" i="28"/>
  <c r="E62" i="28"/>
  <c r="J60" i="28"/>
  <c r="F62" i="28"/>
  <c r="L62" i="28"/>
  <c r="M60" i="28"/>
  <c r="M62" i="28"/>
  <c r="N62" i="28"/>
  <c r="G60" i="28"/>
  <c r="P60" i="28"/>
  <c r="F60" i="28"/>
  <c r="P36" i="28"/>
  <c r="P38" i="28" s="1"/>
  <c r="G72" i="28"/>
  <c r="G74" i="28" s="1"/>
  <c r="P39" i="28"/>
  <c r="M63" i="30"/>
  <c r="G52" i="33"/>
  <c r="P37" i="33"/>
  <c r="Q32" i="33"/>
  <c r="P34" i="33"/>
  <c r="P36" i="33" s="1"/>
  <c r="B40" i="33" s="1"/>
  <c r="F23" i="36"/>
  <c r="F48" i="33"/>
  <c r="F49" i="33" s="1"/>
  <c r="P61" i="12"/>
  <c r="P63" i="12" s="1"/>
  <c r="O61" i="12"/>
  <c r="P69" i="28"/>
  <c r="P70" i="28" s="1"/>
  <c r="P55" i="24"/>
  <c r="B56" i="24"/>
  <c r="P65" i="21"/>
  <c r="P66" i="21" s="1"/>
  <c r="P58" i="30"/>
  <c r="P67" i="30" s="1"/>
  <c r="E51" i="23"/>
  <c r="E32" i="6"/>
  <c r="N32" i="6"/>
  <c r="N34" i="6"/>
  <c r="F32" i="6"/>
  <c r="G32" i="6"/>
  <c r="B34" i="6"/>
  <c r="M34" i="6"/>
  <c r="L32" i="6"/>
  <c r="K32" i="6"/>
  <c r="H34" i="6"/>
  <c r="D34" i="6"/>
  <c r="C32" i="6"/>
  <c r="B32" i="6"/>
  <c r="C34" i="6"/>
  <c r="I32" i="6"/>
  <c r="E34" i="6"/>
  <c r="D32" i="6"/>
  <c r="J32" i="6"/>
  <c r="F34" i="6"/>
  <c r="I34" i="6"/>
  <c r="K34" i="6"/>
  <c r="L34" i="6"/>
  <c r="H32" i="6"/>
  <c r="G34" i="6"/>
  <c r="M32" i="6"/>
  <c r="J34" i="6"/>
  <c r="E36" i="38"/>
  <c r="G38" i="33"/>
  <c r="P29" i="33"/>
  <c r="P38" i="33" s="1"/>
  <c r="E19" i="36"/>
  <c r="B63" i="26"/>
  <c r="P15" i="33"/>
  <c r="P17" i="33" s="1"/>
  <c r="G51" i="33"/>
  <c r="F36" i="38"/>
  <c r="P55" i="22"/>
  <c r="P56" i="22" s="1"/>
  <c r="D49" i="33"/>
  <c r="P63" i="30"/>
  <c r="P65" i="30" s="1"/>
  <c r="B69" i="30" s="1"/>
  <c r="P68" i="30" s="1"/>
  <c r="C64" i="30"/>
  <c r="C66" i="30" s="1"/>
  <c r="P62" i="30"/>
  <c r="O62" i="30"/>
  <c r="P15" i="36"/>
  <c r="H94" i="12"/>
  <c r="H26" i="36"/>
  <c r="G67" i="10"/>
  <c r="J49" i="42"/>
  <c r="E101" i="11"/>
  <c r="G48" i="24" l="1"/>
  <c r="L48" i="24"/>
  <c r="H48" i="24"/>
  <c r="N46" i="24"/>
  <c r="I48" i="24"/>
  <c r="B48" i="24"/>
  <c r="L46" i="24"/>
  <c r="F46" i="24"/>
  <c r="F48" i="24"/>
  <c r="K46" i="24"/>
  <c r="K48" i="24"/>
  <c r="G46" i="24"/>
  <c r="M48" i="24"/>
  <c r="D46" i="24"/>
  <c r="C46" i="24"/>
  <c r="E48" i="24"/>
  <c r="P56" i="24"/>
  <c r="G48" i="22"/>
  <c r="E48" i="22"/>
  <c r="K48" i="22"/>
  <c r="F48" i="22"/>
  <c r="F46" i="22"/>
  <c r="E46" i="22"/>
  <c r="B48" i="22"/>
  <c r="I48" i="22"/>
  <c r="D48" i="22"/>
  <c r="C48" i="22"/>
  <c r="L46" i="22"/>
  <c r="J48" i="22"/>
  <c r="N48" i="22"/>
  <c r="L48" i="22"/>
  <c r="G46" i="22"/>
  <c r="N46" i="22"/>
  <c r="K46" i="22"/>
  <c r="I46" i="22"/>
  <c r="H46" i="22"/>
  <c r="D46" i="22"/>
  <c r="M48" i="22"/>
  <c r="H48" i="22"/>
  <c r="B46" i="22"/>
  <c r="P46" i="22"/>
  <c r="J46" i="22"/>
  <c r="M46" i="22"/>
  <c r="N54" i="21"/>
  <c r="E56" i="21"/>
  <c r="I56" i="21"/>
  <c r="H54" i="21"/>
  <c r="J54" i="21"/>
  <c r="M56" i="21"/>
  <c r="J56" i="21"/>
  <c r="M54" i="21"/>
  <c r="I54" i="21"/>
  <c r="C56" i="21"/>
  <c r="K54" i="21"/>
  <c r="F56" i="21"/>
  <c r="D56" i="21"/>
  <c r="B54" i="21"/>
  <c r="N56" i="21"/>
  <c r="B56" i="21"/>
  <c r="G54" i="21"/>
  <c r="C54" i="21"/>
  <c r="D54" i="21"/>
  <c r="E54" i="21"/>
  <c r="K56" i="21"/>
  <c r="H56" i="21"/>
  <c r="L56" i="21"/>
  <c r="P54" i="21"/>
  <c r="G56" i="21"/>
  <c r="L54" i="21"/>
  <c r="E26" i="36"/>
  <c r="C53" i="26"/>
  <c r="C55" i="26"/>
  <c r="G53" i="26"/>
  <c r="D53" i="26"/>
  <c r="L55" i="26"/>
  <c r="L53" i="26"/>
  <c r="J55" i="26"/>
  <c r="M55" i="26"/>
  <c r="I53" i="26"/>
  <c r="F55" i="26"/>
  <c r="F53" i="26"/>
  <c r="E55" i="26"/>
  <c r="M53" i="26"/>
  <c r="B53" i="26"/>
  <c r="D55" i="26"/>
  <c r="E53" i="26"/>
  <c r="N55" i="26"/>
  <c r="N53" i="26"/>
  <c r="K55" i="26"/>
  <c r="P53" i="26"/>
  <c r="H53" i="26"/>
  <c r="B55" i="26"/>
  <c r="G55" i="26"/>
  <c r="J53" i="26"/>
  <c r="H55" i="26"/>
  <c r="K53" i="26"/>
  <c r="P63" i="26"/>
  <c r="B41" i="42"/>
  <c r="J39" i="42"/>
  <c r="I41" i="42"/>
  <c r="M39" i="42"/>
  <c r="F41" i="42"/>
  <c r="J41" i="42"/>
  <c r="C41" i="42"/>
  <c r="I39" i="42"/>
  <c r="E39" i="42"/>
  <c r="K39" i="42"/>
  <c r="D39" i="42"/>
  <c r="F39" i="42"/>
  <c r="N39" i="42"/>
  <c r="K41" i="42"/>
  <c r="E41" i="42"/>
  <c r="P39" i="42"/>
  <c r="G39" i="42"/>
  <c r="G41" i="42"/>
  <c r="D41" i="42"/>
  <c r="L41" i="42"/>
  <c r="B39" i="42"/>
  <c r="N41" i="42"/>
  <c r="H41" i="42"/>
  <c r="M41" i="42"/>
  <c r="L39" i="42"/>
  <c r="H39" i="42"/>
  <c r="C39" i="42"/>
  <c r="P48" i="42"/>
  <c r="P49" i="42" s="1"/>
  <c r="M26" i="36"/>
  <c r="P167" i="41"/>
  <c r="P171" i="41" s="1"/>
  <c r="P172" i="41" s="1"/>
  <c r="D114" i="41"/>
  <c r="B114" i="41"/>
  <c r="D112" i="41"/>
  <c r="G112" i="41"/>
  <c r="N112" i="41"/>
  <c r="H112" i="41"/>
  <c r="B112" i="41"/>
  <c r="I114" i="41"/>
  <c r="F112" i="41"/>
  <c r="E114" i="41"/>
  <c r="F114" i="41"/>
  <c r="K112" i="41"/>
  <c r="G114" i="41"/>
  <c r="J114" i="41"/>
  <c r="C112" i="41"/>
  <c r="L114" i="41"/>
  <c r="M112" i="41"/>
  <c r="C114" i="41"/>
  <c r="E112" i="41"/>
  <c r="L112" i="41"/>
  <c r="J112" i="41"/>
  <c r="P112" i="41"/>
  <c r="N114" i="41"/>
  <c r="K114" i="41"/>
  <c r="H114" i="41"/>
  <c r="I112" i="41"/>
  <c r="F62" i="41"/>
  <c r="H62" i="41"/>
  <c r="D60" i="41"/>
  <c r="K60" i="41"/>
  <c r="G60" i="41"/>
  <c r="N60" i="41"/>
  <c r="F60" i="41"/>
  <c r="E60" i="41"/>
  <c r="N62" i="41"/>
  <c r="I62" i="41"/>
  <c r="M62" i="41"/>
  <c r="C60" i="41"/>
  <c r="L62" i="41"/>
  <c r="C62" i="41"/>
  <c r="J62" i="41"/>
  <c r="H60" i="41"/>
  <c r="G62" i="41"/>
  <c r="D62" i="41"/>
  <c r="N168" i="41"/>
  <c r="L60" i="41"/>
  <c r="E62" i="41"/>
  <c r="B62" i="41"/>
  <c r="K62" i="41"/>
  <c r="J60" i="41"/>
  <c r="P60" i="41"/>
  <c r="E159" i="41"/>
  <c r="E157" i="41"/>
  <c r="J157" i="41"/>
  <c r="B157" i="41"/>
  <c r="N159" i="41"/>
  <c r="L157" i="41"/>
  <c r="H157" i="41"/>
  <c r="C157" i="41"/>
  <c r="M157" i="41"/>
  <c r="G159" i="41"/>
  <c r="D159" i="41"/>
  <c r="C159" i="41"/>
  <c r="G157" i="41"/>
  <c r="F159" i="41"/>
  <c r="F157" i="41"/>
  <c r="N157" i="41"/>
  <c r="P157" i="41"/>
  <c r="I159" i="41"/>
  <c r="D157" i="41"/>
  <c r="H159" i="41"/>
  <c r="J159" i="41"/>
  <c r="B159" i="41"/>
  <c r="K159" i="41"/>
  <c r="K157" i="41"/>
  <c r="I157" i="41"/>
  <c r="L159" i="41"/>
  <c r="P19" i="36"/>
  <c r="N26" i="36"/>
  <c r="M77" i="7"/>
  <c r="P76" i="7"/>
  <c r="P77" i="7" s="1"/>
  <c r="P41" i="6"/>
  <c r="P42" i="6" s="1"/>
  <c r="I91" i="11"/>
  <c r="J91" i="11"/>
  <c r="H101" i="11"/>
  <c r="L91" i="11"/>
  <c r="K91" i="11"/>
  <c r="P91" i="11"/>
  <c r="M91" i="11"/>
  <c r="F53" i="11"/>
  <c r="I55" i="11"/>
  <c r="N93" i="11"/>
  <c r="B93" i="11"/>
  <c r="K93" i="11"/>
  <c r="D91" i="11"/>
  <c r="J55" i="11"/>
  <c r="H91" i="11"/>
  <c r="M55" i="11"/>
  <c r="L53" i="11"/>
  <c r="E55" i="11"/>
  <c r="C53" i="11"/>
  <c r="H93" i="11"/>
  <c r="E93" i="11"/>
  <c r="L55" i="11"/>
  <c r="N53" i="11"/>
  <c r="I93" i="11"/>
  <c r="C93" i="11"/>
  <c r="D53" i="11"/>
  <c r="D55" i="11"/>
  <c r="H55" i="11"/>
  <c r="M53" i="11"/>
  <c r="P101" i="11"/>
  <c r="G55" i="11"/>
  <c r="E91" i="11"/>
  <c r="G53" i="11"/>
  <c r="J53" i="11"/>
  <c r="F93" i="11"/>
  <c r="G93" i="11"/>
  <c r="B55" i="11"/>
  <c r="B91" i="11"/>
  <c r="D93" i="11"/>
  <c r="K55" i="11"/>
  <c r="M93" i="11"/>
  <c r="N55" i="11"/>
  <c r="C91" i="11"/>
  <c r="F55" i="11"/>
  <c r="F91" i="11"/>
  <c r="C55" i="11"/>
  <c r="I53" i="11"/>
  <c r="K53" i="11"/>
  <c r="M105" i="11"/>
  <c r="G91" i="11"/>
  <c r="E53" i="11"/>
  <c r="J93" i="11"/>
  <c r="L93" i="11"/>
  <c r="H53" i="11"/>
  <c r="B53" i="11"/>
  <c r="P63" i="8"/>
  <c r="B94" i="12"/>
  <c r="K94" i="12"/>
  <c r="P14" i="36"/>
  <c r="L86" i="12"/>
  <c r="F86" i="12"/>
  <c r="I86" i="12"/>
  <c r="M86" i="12"/>
  <c r="J86" i="12"/>
  <c r="N86" i="12"/>
  <c r="D86" i="12"/>
  <c r="E86" i="12"/>
  <c r="J84" i="12"/>
  <c r="I84" i="12"/>
  <c r="H86" i="12"/>
  <c r="B86" i="12"/>
  <c r="G86" i="12"/>
  <c r="K86" i="12"/>
  <c r="C86" i="12"/>
  <c r="K84" i="12"/>
  <c r="M84" i="12"/>
  <c r="L84" i="12"/>
  <c r="P84" i="12"/>
  <c r="J98" i="12"/>
  <c r="C26" i="36"/>
  <c r="P93" i="12"/>
  <c r="P94" i="12" s="1"/>
  <c r="C46" i="12"/>
  <c r="E48" i="12"/>
  <c r="B46" i="12"/>
  <c r="N46" i="12"/>
  <c r="G48" i="12"/>
  <c r="B84" i="12"/>
  <c r="E46" i="12"/>
  <c r="I48" i="12"/>
  <c r="C84" i="12"/>
  <c r="L46" i="12"/>
  <c r="B48" i="12"/>
  <c r="F48" i="12"/>
  <c r="F84" i="12"/>
  <c r="H84" i="12"/>
  <c r="H46" i="12"/>
  <c r="F46" i="12"/>
  <c r="M48" i="12"/>
  <c r="D48" i="12"/>
  <c r="G46" i="12"/>
  <c r="E84" i="12"/>
  <c r="C48" i="12"/>
  <c r="H48" i="12"/>
  <c r="G84" i="12"/>
  <c r="M46" i="12"/>
  <c r="J46" i="12"/>
  <c r="I46" i="12"/>
  <c r="K46" i="12"/>
  <c r="N48" i="12"/>
  <c r="D84" i="12"/>
  <c r="J48" i="12"/>
  <c r="K48" i="12"/>
  <c r="L48" i="12"/>
  <c r="D46" i="12"/>
  <c r="N96" i="12"/>
  <c r="N98" i="12" s="1"/>
  <c r="O91" i="4"/>
  <c r="C77" i="4"/>
  <c r="P46" i="4"/>
  <c r="G77" i="4"/>
  <c r="L46" i="4"/>
  <c r="L48" i="4"/>
  <c r="H77" i="4"/>
  <c r="B48" i="4"/>
  <c r="D77" i="4"/>
  <c r="K48" i="4"/>
  <c r="B46" i="4"/>
  <c r="F48" i="4"/>
  <c r="G46" i="4"/>
  <c r="G48" i="4"/>
  <c r="N48" i="4"/>
  <c r="M46" i="4"/>
  <c r="I48" i="4"/>
  <c r="F46" i="4"/>
  <c r="D46" i="4"/>
  <c r="E46" i="4"/>
  <c r="E48" i="4"/>
  <c r="C46" i="4"/>
  <c r="N46" i="4"/>
  <c r="H46" i="4"/>
  <c r="K46" i="4"/>
  <c r="F77" i="4"/>
  <c r="M48" i="4"/>
  <c r="I46" i="4"/>
  <c r="E77" i="4"/>
  <c r="J46" i="4"/>
  <c r="B77" i="4"/>
  <c r="C48" i="4"/>
  <c r="J48" i="4"/>
  <c r="H48" i="4"/>
  <c r="F13" i="36"/>
  <c r="P13" i="36" s="1"/>
  <c r="P86" i="4"/>
  <c r="F97" i="2"/>
  <c r="O36" i="38"/>
  <c r="F48" i="2"/>
  <c r="D48" i="2"/>
  <c r="P46" i="2"/>
  <c r="K48" i="2"/>
  <c r="I83" i="2"/>
  <c r="H46" i="2"/>
  <c r="G83" i="2"/>
  <c r="B48" i="2"/>
  <c r="M46" i="2"/>
  <c r="D46" i="2"/>
  <c r="C83" i="2"/>
  <c r="H83" i="2"/>
  <c r="C46" i="2"/>
  <c r="N48" i="2"/>
  <c r="I48" i="2"/>
  <c r="K46" i="2"/>
  <c r="N46" i="2"/>
  <c r="J46" i="2"/>
  <c r="F46" i="2"/>
  <c r="L46" i="2"/>
  <c r="C48" i="2"/>
  <c r="G46" i="2"/>
  <c r="L48" i="2"/>
  <c r="E48" i="2"/>
  <c r="F83" i="2"/>
  <c r="E83" i="2"/>
  <c r="M48" i="2"/>
  <c r="B46" i="2"/>
  <c r="H48" i="2"/>
  <c r="J48" i="2"/>
  <c r="I46" i="2"/>
  <c r="E46" i="2"/>
  <c r="G48" i="2"/>
  <c r="K12" i="36"/>
  <c r="P12" i="36" s="1"/>
  <c r="P92" i="2"/>
  <c r="L96" i="2" s="1"/>
  <c r="L97" i="2" s="1"/>
  <c r="K93" i="2"/>
  <c r="P62" i="10"/>
  <c r="P63" i="10" s="1"/>
  <c r="K41" i="14"/>
  <c r="P48" i="14"/>
  <c r="P49" i="14" s="1"/>
  <c r="J41" i="14"/>
  <c r="D41" i="14"/>
  <c r="I39" i="14"/>
  <c r="L39" i="14"/>
  <c r="B41" i="14"/>
  <c r="K39" i="14"/>
  <c r="E39" i="14"/>
  <c r="G39" i="14"/>
  <c r="C41" i="14"/>
  <c r="F41" i="14"/>
  <c r="M39" i="14"/>
  <c r="J39" i="14"/>
  <c r="H41" i="14"/>
  <c r="C39" i="14"/>
  <c r="H39" i="14"/>
  <c r="F39" i="14"/>
  <c r="M41" i="14"/>
  <c r="G41" i="14"/>
  <c r="E41" i="14"/>
  <c r="L41" i="14"/>
  <c r="N41" i="14"/>
  <c r="N39" i="14"/>
  <c r="P39" i="14"/>
  <c r="I41" i="14"/>
  <c r="P10" i="36"/>
  <c r="G69" i="7"/>
  <c r="N69" i="7"/>
  <c r="H69" i="7"/>
  <c r="J69" i="7"/>
  <c r="B67" i="7"/>
  <c r="L69" i="7"/>
  <c r="M67" i="7"/>
  <c r="K67" i="7"/>
  <c r="N67" i="7"/>
  <c r="M69" i="7"/>
  <c r="P67" i="7"/>
  <c r="D69" i="7"/>
  <c r="F69" i="7"/>
  <c r="H67" i="7"/>
  <c r="I67" i="7"/>
  <c r="F67" i="7"/>
  <c r="G67" i="7"/>
  <c r="B69" i="7"/>
  <c r="I69" i="7"/>
  <c r="C67" i="7"/>
  <c r="K69" i="7"/>
  <c r="C69" i="7"/>
  <c r="J67" i="7"/>
  <c r="E69" i="7"/>
  <c r="E67" i="7"/>
  <c r="D67" i="7"/>
  <c r="L67" i="7"/>
  <c r="I68" i="30"/>
  <c r="J68" i="30"/>
  <c r="H68" i="30"/>
  <c r="B68" i="30"/>
  <c r="G68" i="30"/>
  <c r="D68" i="30"/>
  <c r="F68" i="30"/>
  <c r="N68" i="30"/>
  <c r="L68" i="30"/>
  <c r="K68" i="30"/>
  <c r="C68" i="30"/>
  <c r="E68" i="30"/>
  <c r="P64" i="30"/>
  <c r="P66" i="30" s="1"/>
  <c r="O64" i="30"/>
  <c r="P48" i="33"/>
  <c r="P49" i="33" s="1"/>
  <c r="M68" i="30"/>
  <c r="P23" i="36"/>
  <c r="E41" i="33"/>
  <c r="L39" i="33"/>
  <c r="C41" i="33"/>
  <c r="J39" i="33"/>
  <c r="B41" i="33"/>
  <c r="K41" i="33"/>
  <c r="I41" i="33"/>
  <c r="M41" i="33"/>
  <c r="M39" i="33"/>
  <c r="N39" i="33"/>
  <c r="L41" i="33"/>
  <c r="G39" i="33"/>
  <c r="E39" i="33"/>
  <c r="H39" i="33"/>
  <c r="G41" i="33"/>
  <c r="J41" i="33"/>
  <c r="C39" i="33"/>
  <c r="H41" i="33"/>
  <c r="K39" i="33"/>
  <c r="D41" i="33"/>
  <c r="D39" i="33"/>
  <c r="N41" i="33"/>
  <c r="I39" i="33"/>
  <c r="F41" i="33"/>
  <c r="B39" i="33"/>
  <c r="F39" i="33"/>
  <c r="G53" i="33"/>
  <c r="P39" i="33"/>
  <c r="P168" i="41" l="1"/>
  <c r="M97" i="12"/>
  <c r="M98" i="12" s="1"/>
  <c r="F26" i="36"/>
  <c r="M90" i="4"/>
  <c r="M91" i="4" s="1"/>
  <c r="P87" i="4"/>
  <c r="P93" i="2"/>
  <c r="K26" i="36"/>
  <c r="P26" i="3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Santana de la Cruz</author>
    <author>9BBUP</author>
  </authors>
  <commentList>
    <comment ref="P13" authorId="0" shapeId="0" xr:uid="{00000000-0006-0000-0300-000001000000}">
      <text>
        <r>
          <rPr>
            <b/>
            <sz val="8"/>
            <color indexed="81"/>
            <rFont val="Tahoma"/>
            <family val="2"/>
          </rPr>
          <t>Santana de la Cruz:</t>
        </r>
        <r>
          <rPr>
            <sz val="8"/>
            <color indexed="81"/>
            <rFont val="Tahoma"/>
            <family val="2"/>
          </rPr>
          <t xml:space="preserve">
Demanda a cuidar de acuerdo al pronostico del año anterior.</t>
        </r>
      </text>
    </comment>
    <comment ref="G74" authorId="1" shapeId="0" xr:uid="{00000000-0006-0000-0300-000002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81" authorId="0" shapeId="0" xr:uid="{00000000-0006-0000-0C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172" authorId="0" shapeId="0" xr:uid="{00000000-0006-0000-0D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J172" authorId="0" shapeId="0" xr:uid="{00000000-0006-0000-0D00-000002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M172" authorId="0" shapeId="0" xr:uid="{00000000-0006-0000-0D00-000003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P172" authorId="0" shapeId="0" xr:uid="{00000000-0006-0000-0D00-000004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53" authorId="0" shapeId="0" xr:uid="{00000000-0006-0000-0E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53" authorId="0" shapeId="0" xr:uid="{00000000-0006-0000-0F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53" authorId="0" shapeId="0" xr:uid="{00000000-0006-0000-10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83" authorId="0" shapeId="0" xr:uid="{00000000-0006-0000-11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67" authorId="0" shapeId="0" xr:uid="{00000000-0006-0000-12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H71" authorId="0" shapeId="0" xr:uid="{00000000-0006-0000-13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H61" authorId="0" shapeId="0" xr:uid="{00000000-0006-0000-14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1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H61" authorId="0" shapeId="0" xr:uid="{00000000-0006-0000-15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53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2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H55" authorId="0" shapeId="0" xr:uid="{00000000-0006-0000-19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67" authorId="0" shapeId="0" xr:uid="{00000000-0006-0000-05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F97" authorId="0" shapeId="0" xr:uid="{00000000-0006-0000-06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I97" authorId="0" shapeId="0" xr:uid="{00000000-0006-0000-0600-000002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L97" authorId="0" shapeId="0" xr:uid="{00000000-0006-0000-0600-000003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91" authorId="0" shapeId="0" xr:uid="{00000000-0006-0000-07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J91" authorId="0" shapeId="0" xr:uid="{00000000-0006-0000-0700-000002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M91" authorId="0" shapeId="0" xr:uid="{00000000-0006-0000-0700-000003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98" authorId="0" shapeId="0" xr:uid="{00000000-0006-0000-08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J98" authorId="0" shapeId="0" xr:uid="{00000000-0006-0000-0800-000002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M98" authorId="0" shapeId="0" xr:uid="{00000000-0006-0000-0800-000003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67" authorId="0" shapeId="0" xr:uid="{00000000-0006-0000-09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105" authorId="0" shapeId="0" xr:uid="{00000000-0006-0000-0A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J105" authorId="0" shapeId="0" xr:uid="{00000000-0006-0000-0A00-000002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  <comment ref="M105" authorId="0" shapeId="0" xr:uid="{00000000-0006-0000-0A00-000003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9BBUP</author>
  </authors>
  <commentList>
    <comment ref="G46" authorId="0" shapeId="0" xr:uid="{00000000-0006-0000-0B00-000001000000}">
      <text>
        <r>
          <rPr>
            <b/>
            <sz val="9"/>
            <color indexed="81"/>
            <rFont val="Tahoma"/>
            <family val="2"/>
          </rPr>
          <t>9BBUP:</t>
        </r>
        <r>
          <rPr>
            <sz val="9"/>
            <color indexed="81"/>
            <rFont val="Tahoma"/>
            <family val="2"/>
          </rPr>
          <t xml:space="preserve">
Factor que se debe cuidar antes de realizar el cierre de demanda maxima.</t>
        </r>
      </text>
    </comment>
  </commentList>
</comments>
</file>

<file path=xl/sharedStrings.xml><?xml version="1.0" encoding="utf-8"?>
<sst xmlns="http://schemas.openxmlformats.org/spreadsheetml/2006/main" count="5130" uniqueCount="504">
  <si>
    <t>COMISIÓN FEDERAL DE ELECTRICIDAD</t>
  </si>
  <si>
    <t>DIVISION DE DISTRIBUCION PENINSULAR</t>
  </si>
  <si>
    <t>REPORTE DE MEDICIONES MENSUALES</t>
  </si>
  <si>
    <t>CIRCUITO/BANCO</t>
  </si>
  <si>
    <t>TOTAL</t>
  </si>
  <si>
    <t>MAXIMO/PROMEDIO</t>
  </si>
  <si>
    <t>Dem. Max. (Kw)</t>
  </si>
  <si>
    <t>Consumo (Kwh)</t>
  </si>
  <si>
    <t>Dem. Med.</t>
  </si>
  <si>
    <t>F.P</t>
  </si>
  <si>
    <t>Suma Circuitos</t>
  </si>
  <si>
    <t>Demanda (Kw)</t>
  </si>
  <si>
    <t>Banco  1</t>
  </si>
  <si>
    <t>Banco  2</t>
  </si>
  <si>
    <t>Suma Bancos</t>
  </si>
  <si>
    <t>DÍas</t>
  </si>
  <si>
    <t>Reactivos (Kvar)</t>
  </si>
  <si>
    <t>F. C.</t>
  </si>
  <si>
    <t>F. D.</t>
  </si>
  <si>
    <t>F. U.</t>
  </si>
  <si>
    <t>Cap.Instal (kw)</t>
  </si>
  <si>
    <t>Subestación</t>
  </si>
  <si>
    <t>Zona Campeche</t>
  </si>
  <si>
    <t>SUBESTACIÓN: CMO- S.E CHAMPOTON</t>
  </si>
  <si>
    <t>SUBESTACIÓN: CKD - S.E CALKINI</t>
  </si>
  <si>
    <t>SUBESTACIÓN: HCE - S.E HECELCHAKAN</t>
  </si>
  <si>
    <t>SUBESTACIÓN: SAD - S.E SAMULA II</t>
  </si>
  <si>
    <t>SUBESTACIÓN: LRA - S.E LERMA</t>
  </si>
  <si>
    <t>SUBESTACIÓN: CYL - S.E CAYAL</t>
  </si>
  <si>
    <t>SUBESTACIÓN: ESA - S.E ESCARCEGA</t>
  </si>
  <si>
    <t>Banco  3</t>
  </si>
  <si>
    <t>SUBESTACIÓN: KAL - S.E KALA</t>
  </si>
  <si>
    <t>SUBESTACIÓN: CBU - S.E CHICBUL</t>
  </si>
  <si>
    <t>Suma Subestaciones</t>
  </si>
  <si>
    <t>SAU-4220</t>
  </si>
  <si>
    <t>SAU-4210</t>
  </si>
  <si>
    <t>SAU-4230</t>
  </si>
  <si>
    <t>CDA-4210</t>
  </si>
  <si>
    <t>CDA-4220</t>
  </si>
  <si>
    <t>HPN-4210</t>
  </si>
  <si>
    <t>HPN-4220</t>
  </si>
  <si>
    <t>HPN-4230</t>
  </si>
  <si>
    <t>HPN-4240</t>
  </si>
  <si>
    <t>SBP-4210</t>
  </si>
  <si>
    <t>SBP-4220</t>
  </si>
  <si>
    <t>SUBESTACIÓN: CDA - S.E CANDELARIA</t>
  </si>
  <si>
    <t>SUBESTACIÓN: SBP - S.E SEYBAPLAYA</t>
  </si>
  <si>
    <t>SUBESTACIÓN: HPN - S.E HOPELCHEN</t>
  </si>
  <si>
    <t>REPORTE DE MEDICIONES MENSUALES DE SUBESTACIONES</t>
  </si>
  <si>
    <t>S.E CHICBUL</t>
  </si>
  <si>
    <t>S.E CALKINI</t>
  </si>
  <si>
    <t>S.E CHAMPOTON</t>
  </si>
  <si>
    <t>S.E CAYAL</t>
  </si>
  <si>
    <t>S.E ESCARCEGA</t>
  </si>
  <si>
    <t>S.E HECELCHAKAN</t>
  </si>
  <si>
    <t>S.E KALA</t>
  </si>
  <si>
    <t>S.E LERMA</t>
  </si>
  <si>
    <t>S.E SAMULA II</t>
  </si>
  <si>
    <t>S.E SAMULA</t>
  </si>
  <si>
    <t xml:space="preserve">SUBESTACIÓN: SAM - S.E SAMULA </t>
  </si>
  <si>
    <t>SUBESTACIÓN: SAU - S.E SAMUEL</t>
  </si>
  <si>
    <t>Banco  5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</si>
  <si>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</si>
  <si>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SUBESTACIÓN: XPU - S.E XPUJIL</t>
  </si>
  <si>
    <t>S.E XPUJIL</t>
  </si>
  <si>
    <t>S.E AHKIMPECH</t>
  </si>
  <si>
    <t>SUBESTACIÓN: AKI - S.E AHKIMPECH</t>
  </si>
  <si>
    <t xml:space="preserve"> </t>
  </si>
  <si>
    <t>S.E SIHOCHAC</t>
  </si>
  <si>
    <t>SUBESTACIÓN: SHC- S.E SIHOCHAC</t>
  </si>
  <si>
    <t>N°</t>
  </si>
  <si>
    <t>Circuitos</t>
  </si>
  <si>
    <t>Nota</t>
  </si>
  <si>
    <t>CBU-5010</t>
  </si>
  <si>
    <t>CBU-5020</t>
  </si>
  <si>
    <t>CKD-4010</t>
  </si>
  <si>
    <t>Sin Perfil</t>
  </si>
  <si>
    <t>CKD-4020</t>
  </si>
  <si>
    <t>CKD-4030</t>
  </si>
  <si>
    <t>CMO-5220</t>
  </si>
  <si>
    <t>CMO-5230</t>
  </si>
  <si>
    <t>CMO-5240</t>
  </si>
  <si>
    <t>CMO-4010</t>
  </si>
  <si>
    <t>CMO-4020</t>
  </si>
  <si>
    <t>CMO-4030</t>
  </si>
  <si>
    <t>ESA-4010</t>
  </si>
  <si>
    <t>ESA-4020</t>
  </si>
  <si>
    <t>ESA-4030</t>
  </si>
  <si>
    <t>ESA-5220</t>
  </si>
  <si>
    <t>ESA-5230</t>
  </si>
  <si>
    <t>ESA-5240</t>
  </si>
  <si>
    <t>HCE-4030</t>
  </si>
  <si>
    <t>HCE-4040</t>
  </si>
  <si>
    <t>KAL-4050</t>
  </si>
  <si>
    <t>Si</t>
  </si>
  <si>
    <t>KAL-4060</t>
  </si>
  <si>
    <t>KAL-4070</t>
  </si>
  <si>
    <t>SAD-4010</t>
  </si>
  <si>
    <t>SAD-4020</t>
  </si>
  <si>
    <t>SAD-4030</t>
  </si>
  <si>
    <t>SAD-4040</t>
  </si>
  <si>
    <t>SAD-4050</t>
  </si>
  <si>
    <t>SAD-4060</t>
  </si>
  <si>
    <t>HCE-4010</t>
  </si>
  <si>
    <t>KAL-4010</t>
  </si>
  <si>
    <t>KAL-4020</t>
  </si>
  <si>
    <t>KAL-4030</t>
  </si>
  <si>
    <t>KAL-4040</t>
  </si>
  <si>
    <t>LRA-43080</t>
  </si>
  <si>
    <t>AKI-4015</t>
  </si>
  <si>
    <t>AKI-4025</t>
  </si>
  <si>
    <t>AKI-4035</t>
  </si>
  <si>
    <t>AKI-4045</t>
  </si>
  <si>
    <t>CYL-5010</t>
  </si>
  <si>
    <t>CYL-5020</t>
  </si>
  <si>
    <t>CYL-5030</t>
  </si>
  <si>
    <t>CYL-5040</t>
  </si>
  <si>
    <t>CYL-5050</t>
  </si>
  <si>
    <t>HCE-4020</t>
  </si>
  <si>
    <t>XPU-5010</t>
  </si>
  <si>
    <t>XPU-5030</t>
  </si>
  <si>
    <t>XPU-5040</t>
  </si>
  <si>
    <t>Perfil de Carga</t>
  </si>
  <si>
    <t>No</t>
  </si>
  <si>
    <t>Comentario</t>
  </si>
  <si>
    <t xml:space="preserve">Sin Informacion </t>
  </si>
  <si>
    <t>SAM-T1</t>
  </si>
  <si>
    <t>SAM-T2</t>
  </si>
  <si>
    <t>SAM-T3</t>
  </si>
  <si>
    <t>KAL-T1</t>
  </si>
  <si>
    <t>KAL-T2</t>
  </si>
  <si>
    <t>LRA-T1</t>
  </si>
  <si>
    <t>SAD-T1</t>
  </si>
  <si>
    <t>AKI-T1</t>
  </si>
  <si>
    <t>CMO-T1</t>
  </si>
  <si>
    <t>CMO-T2</t>
  </si>
  <si>
    <t>SHO-T1</t>
  </si>
  <si>
    <t>CYL-T1</t>
  </si>
  <si>
    <t>CYL-T2</t>
  </si>
  <si>
    <t>CKD-T1</t>
  </si>
  <si>
    <t>HCE-T1</t>
  </si>
  <si>
    <t>ESA-T2</t>
  </si>
  <si>
    <t>ESA-T3</t>
  </si>
  <si>
    <t>CBU-T1</t>
  </si>
  <si>
    <t>XPU-T1</t>
  </si>
  <si>
    <t>SBP-T1</t>
  </si>
  <si>
    <t>SHO-T2</t>
  </si>
  <si>
    <t>HPN-T1</t>
  </si>
  <si>
    <t>CDA-T1</t>
  </si>
  <si>
    <t>SAU- T1</t>
  </si>
  <si>
    <t>Transformador Pot.</t>
  </si>
  <si>
    <t>S.E SABANCUY</t>
  </si>
  <si>
    <t>SUBESTACIÓN: XPU - S.E SABANCUY</t>
  </si>
  <si>
    <t>% Desbalance</t>
  </si>
  <si>
    <t>Factor de Potencia</t>
  </si>
  <si>
    <t>AKI-4055</t>
  </si>
  <si>
    <t>SBY-5010</t>
  </si>
  <si>
    <t>SBY-5020</t>
  </si>
  <si>
    <t>SBY-T1</t>
  </si>
  <si>
    <t>Demanda (kw)</t>
  </si>
  <si>
    <t>Suma Dem. Max Cir</t>
  </si>
  <si>
    <t>Dem. Max. Bco</t>
  </si>
  <si>
    <t>F.D</t>
  </si>
  <si>
    <t>Medidor de Calidad</t>
  </si>
  <si>
    <t>XPU-5020</t>
  </si>
  <si>
    <t>Elementos Sin Medidior</t>
  </si>
  <si>
    <t>Elementos Con Medidor</t>
  </si>
  <si>
    <t>Elementos</t>
  </si>
  <si>
    <t>Transformador de Pot.</t>
  </si>
  <si>
    <t>Circuitos de Distribucion</t>
  </si>
  <si>
    <t>Total</t>
  </si>
  <si>
    <t>Dem. Max. S.E.</t>
  </si>
  <si>
    <t>SI</t>
  </si>
  <si>
    <t>NO</t>
  </si>
  <si>
    <t>Requiere Compensacion</t>
  </si>
  <si>
    <t>CDA-4230</t>
  </si>
  <si>
    <t>Enero</t>
  </si>
  <si>
    <t>Febrero</t>
  </si>
  <si>
    <t>Marzo</t>
  </si>
  <si>
    <t>Abril</t>
  </si>
  <si>
    <t>Mayo</t>
  </si>
  <si>
    <t>Junio</t>
  </si>
  <si>
    <t>Julio</t>
  </si>
  <si>
    <t xml:space="preserve">Agosto </t>
  </si>
  <si>
    <t>Septiembre</t>
  </si>
  <si>
    <t>Octubre</t>
  </si>
  <si>
    <t>Noviembre</t>
  </si>
  <si>
    <t>Diciembre</t>
  </si>
  <si>
    <t>Requiere Balanceo</t>
  </si>
  <si>
    <t>Realizado</t>
  </si>
  <si>
    <t>Estudio de Compensacion</t>
  </si>
  <si>
    <t>Tipo de Medicion</t>
  </si>
  <si>
    <t>Sin informacion</t>
  </si>
  <si>
    <t>Simoce</t>
  </si>
  <si>
    <t>Sin Simoce</t>
  </si>
  <si>
    <t>Sin Perfil de Carga</t>
  </si>
  <si>
    <t>Con Perfil de Carga</t>
  </si>
  <si>
    <t>Champoton</t>
  </si>
  <si>
    <t>Campeche</t>
  </si>
  <si>
    <t>Calkini</t>
  </si>
  <si>
    <t>Hopelchen</t>
  </si>
  <si>
    <t>Escarcega</t>
  </si>
  <si>
    <t>Xpujil</t>
  </si>
  <si>
    <t>Candelaria</t>
  </si>
  <si>
    <t>AKI04015</t>
  </si>
  <si>
    <t>AKI04025</t>
  </si>
  <si>
    <t>AKI04035</t>
  </si>
  <si>
    <t>AKI04045</t>
  </si>
  <si>
    <t>AKI04055</t>
  </si>
  <si>
    <t>CBU05010</t>
  </si>
  <si>
    <t>CBU05020</t>
  </si>
  <si>
    <t>CKD04010</t>
  </si>
  <si>
    <t>CKD04020</t>
  </si>
  <si>
    <t>CKD04030</t>
  </si>
  <si>
    <t>CKD04040</t>
  </si>
  <si>
    <t>CMO05220</t>
  </si>
  <si>
    <t>CMO05230</t>
  </si>
  <si>
    <t>CMO05240</t>
  </si>
  <si>
    <t>CMO04010</t>
  </si>
  <si>
    <t>CMO04020</t>
  </si>
  <si>
    <t>CMO04030</t>
  </si>
  <si>
    <t>CYL05010</t>
  </si>
  <si>
    <t>CYL05020</t>
  </si>
  <si>
    <t>CYL05030</t>
  </si>
  <si>
    <t>CYL05040</t>
  </si>
  <si>
    <t>CYL05050</t>
  </si>
  <si>
    <t>ESA05220</t>
  </si>
  <si>
    <t>ESA05230</t>
  </si>
  <si>
    <t>ESA05240</t>
  </si>
  <si>
    <t>ESA04010</t>
  </si>
  <si>
    <t>ESA04020</t>
  </si>
  <si>
    <t>ESA04030</t>
  </si>
  <si>
    <t>HCE04010</t>
  </si>
  <si>
    <t>HCE04020</t>
  </si>
  <si>
    <t>HCE04030</t>
  </si>
  <si>
    <t>HCE04040</t>
  </si>
  <si>
    <t>KAL04010</t>
  </si>
  <si>
    <t>KAL04020</t>
  </si>
  <si>
    <t>KAL04030</t>
  </si>
  <si>
    <t>KAL04040</t>
  </si>
  <si>
    <t>KAL04050</t>
  </si>
  <si>
    <t>KAL04060</t>
  </si>
  <si>
    <t>KAL04070</t>
  </si>
  <si>
    <t>SAD04010</t>
  </si>
  <si>
    <t>SAD04020</t>
  </si>
  <si>
    <t>SAD04030</t>
  </si>
  <si>
    <t>SAD04040</t>
  </si>
  <si>
    <t>SAD04050</t>
  </si>
  <si>
    <t>SAD04060</t>
  </si>
  <si>
    <t>SBY05010</t>
  </si>
  <si>
    <t>SBY05020</t>
  </si>
  <si>
    <t>SHC05010</t>
  </si>
  <si>
    <t>SHC05020</t>
  </si>
  <si>
    <t>SHC05030 T2</t>
  </si>
  <si>
    <t>SHC04210</t>
  </si>
  <si>
    <t>XPU05010</t>
  </si>
  <si>
    <t>XPU05020</t>
  </si>
  <si>
    <t>XPU05030</t>
  </si>
  <si>
    <t>XPU05040</t>
  </si>
  <si>
    <t>HPN04210</t>
  </si>
  <si>
    <t>HPN04220</t>
  </si>
  <si>
    <t>HPN04230</t>
  </si>
  <si>
    <t>HPN04240</t>
  </si>
  <si>
    <t>CDA04210</t>
  </si>
  <si>
    <t>CDA04220</t>
  </si>
  <si>
    <t>CDA04230</t>
  </si>
  <si>
    <t>SBP04210</t>
  </si>
  <si>
    <t>SBP04220</t>
  </si>
  <si>
    <t>CKD-4040</t>
  </si>
  <si>
    <t>campeche</t>
  </si>
  <si>
    <t>champoton</t>
  </si>
  <si>
    <t>escarcega</t>
  </si>
  <si>
    <t>hopelchen</t>
  </si>
  <si>
    <t>calkini</t>
  </si>
  <si>
    <t>candelaria</t>
  </si>
  <si>
    <t>Area de Distribucion</t>
  </si>
  <si>
    <t>xpujil</t>
  </si>
  <si>
    <t>F.P &gt; 0,95</t>
  </si>
  <si>
    <t xml:space="preserve"> F.P. &lt; 0,95</t>
  </si>
  <si>
    <t>Medicion F.P.</t>
  </si>
  <si>
    <t>Arriba de 4,5MW</t>
  </si>
  <si>
    <t>Circuitos Totales</t>
  </si>
  <si>
    <t>Sin Medicion F.P.</t>
  </si>
  <si>
    <t>Arriba del 90%</t>
  </si>
  <si>
    <t>Subestacion</t>
  </si>
  <si>
    <t>Transformador Potencia</t>
  </si>
  <si>
    <t>Samuel</t>
  </si>
  <si>
    <t>Lerma</t>
  </si>
  <si>
    <t>Hecelchakan</t>
  </si>
  <si>
    <t>Sihochac</t>
  </si>
  <si>
    <t>Elementos Sin Mediciòn de Parametros Electricos.</t>
  </si>
  <si>
    <t>Lineas de Alta Tension</t>
  </si>
  <si>
    <t>Avance Implementacion Simoce</t>
  </si>
  <si>
    <t>Circuitos Mayores a 4,5MW</t>
  </si>
  <si>
    <t>SHC-T1</t>
  </si>
  <si>
    <t>LRA-T5</t>
  </si>
  <si>
    <t>SAU-T1</t>
  </si>
  <si>
    <t>MAXIMO</t>
  </si>
  <si>
    <t>Clientes</t>
  </si>
  <si>
    <t>SAM-4015</t>
  </si>
  <si>
    <t>SAM-4025</t>
  </si>
  <si>
    <t>SAM-4035</t>
  </si>
  <si>
    <t>SAM-4045</t>
  </si>
  <si>
    <t>SAM-4055</t>
  </si>
  <si>
    <t>SAM-4065</t>
  </si>
  <si>
    <t>SAM-4075</t>
  </si>
  <si>
    <t>SAM-4085</t>
  </si>
  <si>
    <t>SAM-4095</t>
  </si>
  <si>
    <t>SAM-5015</t>
  </si>
  <si>
    <t>SAM-5025</t>
  </si>
  <si>
    <t>SAM-5035</t>
  </si>
  <si>
    <t>SAM-5045</t>
  </si>
  <si>
    <t>Desbi %</t>
  </si>
  <si>
    <t>SAM04015</t>
  </si>
  <si>
    <t>SAM04025</t>
  </si>
  <si>
    <t>SAM04035</t>
  </si>
  <si>
    <t>SAM04045</t>
  </si>
  <si>
    <t>SAM04055</t>
  </si>
  <si>
    <t>SAM04065</t>
  </si>
  <si>
    <t>SAM04075</t>
  </si>
  <si>
    <t>SAM04085</t>
  </si>
  <si>
    <t>SAM04095</t>
  </si>
  <si>
    <t>SAM05015</t>
  </si>
  <si>
    <t>SAM05025</t>
  </si>
  <si>
    <t>SAM05035</t>
  </si>
  <si>
    <t>SAM05045</t>
  </si>
  <si>
    <t>SHC-4210</t>
  </si>
  <si>
    <t>SHC-5010</t>
  </si>
  <si>
    <t>SHC-5020</t>
  </si>
  <si>
    <t>Suma Dem. Max. Banc.</t>
  </si>
  <si>
    <t>Suma de Demanda</t>
  </si>
  <si>
    <t>Subestaciones</t>
  </si>
  <si>
    <t>Reserva Capacidad</t>
  </si>
  <si>
    <t>HOP5325</t>
  </si>
  <si>
    <t>HOP-T1</t>
  </si>
  <si>
    <t>Consecutivo</t>
  </si>
  <si>
    <t>4</t>
  </si>
  <si>
    <t>5</t>
  </si>
  <si>
    <t>6</t>
  </si>
  <si>
    <t>7</t>
  </si>
  <si>
    <t>8</t>
  </si>
  <si>
    <t>9</t>
  </si>
  <si>
    <t>10</t>
  </si>
  <si>
    <t>11</t>
  </si>
  <si>
    <t>12</t>
  </si>
  <si>
    <t>13</t>
  </si>
  <si>
    <t>14</t>
  </si>
  <si>
    <t>15</t>
  </si>
  <si>
    <t>Dem. Max. Bco T2</t>
  </si>
  <si>
    <t>Dem. Max. Bco T1</t>
  </si>
  <si>
    <t>Dem. Max. Bco T3</t>
  </si>
  <si>
    <t>F.D Subestacion</t>
  </si>
  <si>
    <t>Dmax. Medida</t>
  </si>
  <si>
    <t>Restaurador</t>
  </si>
  <si>
    <t>ION</t>
  </si>
  <si>
    <t>SEL</t>
  </si>
  <si>
    <t>ARTECHE</t>
  </si>
  <si>
    <t>HOP053015</t>
  </si>
  <si>
    <t>Tipo de Equipo</t>
  </si>
  <si>
    <t>SAM04105</t>
  </si>
  <si>
    <t>SUBESTACIÓN: CAS - S.E CANDELARIA DOS</t>
  </si>
  <si>
    <t>SUBESTACIÓN: HOP - S.E HOPELCHEN DOS</t>
  </si>
  <si>
    <t>CAS-T1</t>
  </si>
  <si>
    <t>S.E CANDELARIA DOS</t>
  </si>
  <si>
    <t>S.E HOPELCHEN DOS</t>
  </si>
  <si>
    <t>Relación de Voltaje (kV)</t>
  </si>
  <si>
    <t>34.5/13.8</t>
  </si>
  <si>
    <t>115/13.8</t>
  </si>
  <si>
    <t>115/34.5</t>
  </si>
  <si>
    <t>CAS53025</t>
  </si>
  <si>
    <t>Capacidad (MW)</t>
  </si>
  <si>
    <t>115/34.6</t>
  </si>
  <si>
    <t>16</t>
  </si>
  <si>
    <t>Demanda 2021 (MW)</t>
  </si>
  <si>
    <t>Porcentaje Utilizacion 2021</t>
  </si>
  <si>
    <t>Demanda Abril 2019 (MW)</t>
  </si>
  <si>
    <t>Demanda abril 2021 (MW)</t>
  </si>
  <si>
    <t>Porcentaje Utilizacion 2020</t>
  </si>
  <si>
    <t>SAM-4105</t>
  </si>
  <si>
    <t>CAS05315</t>
  </si>
  <si>
    <t>CAS05325</t>
  </si>
  <si>
    <t>HOP-53025</t>
  </si>
  <si>
    <t>HOP-53015</t>
  </si>
  <si>
    <t>CAS-53015</t>
  </si>
  <si>
    <t>CAS-53025</t>
  </si>
  <si>
    <t>Nivel de Tension</t>
  </si>
  <si>
    <t xml:space="preserve"> F.U % </t>
  </si>
  <si>
    <r>
      <t xml:space="preserve"> </t>
    </r>
    <r>
      <rPr>
        <sz val="9"/>
        <color indexed="9"/>
        <rFont val="Arial"/>
        <family val="2"/>
      </rPr>
      <t xml:space="preserve">Color </t>
    </r>
  </si>
  <si>
    <t xml:space="preserve"> 0-60 </t>
  </si>
  <si>
    <t xml:space="preserve"> 61-90 </t>
  </si>
  <si>
    <t xml:space="preserve"> 90-100 </t>
  </si>
  <si>
    <t>Demanda 2020 (MW)</t>
  </si>
  <si>
    <t>DW04</t>
  </si>
  <si>
    <t>AKI</t>
  </si>
  <si>
    <t>API</t>
  </si>
  <si>
    <t>CAS</t>
  </si>
  <si>
    <t>CBU</t>
  </si>
  <si>
    <t>CDA</t>
  </si>
  <si>
    <t>CKD</t>
  </si>
  <si>
    <t>CMO</t>
  </si>
  <si>
    <t>CPY</t>
  </si>
  <si>
    <t>CTY</t>
  </si>
  <si>
    <t>CYL</t>
  </si>
  <si>
    <t>ESA</t>
  </si>
  <si>
    <t>GOB</t>
  </si>
  <si>
    <t>HCE</t>
  </si>
  <si>
    <t>HOP</t>
  </si>
  <si>
    <t>HPN</t>
  </si>
  <si>
    <t>KAL</t>
  </si>
  <si>
    <t>LRA</t>
  </si>
  <si>
    <t>SAD</t>
  </si>
  <si>
    <t>SAM</t>
  </si>
  <si>
    <t>SAU</t>
  </si>
  <si>
    <t>SBP</t>
  </si>
  <si>
    <t>SBY</t>
  </si>
  <si>
    <t>SHC</t>
  </si>
  <si>
    <t>XPU</t>
  </si>
  <si>
    <t>SIAPCC</t>
  </si>
  <si>
    <t>REAL</t>
  </si>
  <si>
    <t>Maxima</t>
  </si>
  <si>
    <t>Dem. Max.</t>
  </si>
  <si>
    <t>Demanda Feb 2021 (MW)</t>
  </si>
  <si>
    <t>Demanda Feb 2022 (MW)</t>
  </si>
  <si>
    <t>Porcentaje Utilizacion 2022</t>
  </si>
  <si>
    <t>Capacidad (mW)</t>
  </si>
  <si>
    <t>Demanda Mar 2022 (mW)</t>
  </si>
  <si>
    <t>Disponibilidad 2022</t>
  </si>
  <si>
    <t>Circuito</t>
  </si>
  <si>
    <t>Nivel de Tension (kV)</t>
  </si>
  <si>
    <t>HOP053025</t>
  </si>
  <si>
    <t>Numero de Clientes</t>
  </si>
  <si>
    <t>BANCO</t>
  </si>
  <si>
    <t>SIN MEDICION EN EL SIMOCE</t>
  </si>
  <si>
    <t>SIN MEDICION EN SIMOCE</t>
  </si>
  <si>
    <t>NO HAY MEDICION EN SIMOCE</t>
  </si>
  <si>
    <t>CONCLUIDO</t>
  </si>
  <si>
    <t>Se solicita la apertura para modificación de valores de demanda máxima (kW).</t>
  </si>
  <si>
    <t>Equipo</t>
  </si>
  <si>
    <t>Validado</t>
  </si>
  <si>
    <t>Año</t>
  </si>
  <si>
    <t>Mes</t>
  </si>
  <si>
    <t>Demanda Max (kW)</t>
  </si>
  <si>
    <t>Demanda Min (kW)</t>
  </si>
  <si>
    <t>Demanda Promedio (kW)</t>
  </si>
  <si>
    <t>Energía (kWh)</t>
  </si>
  <si>
    <t>Reactivos (kVARh)</t>
  </si>
  <si>
    <t>Factor de Potencia 
Max</t>
  </si>
  <si>
    <t>NV</t>
  </si>
  <si>
    <t>2022</t>
  </si>
  <si>
    <t>LRA43080</t>
  </si>
  <si>
    <t>CAS53015</t>
  </si>
  <si>
    <t>SBP4210</t>
  </si>
  <si>
    <t>SBP4220</t>
  </si>
  <si>
    <t>CBU5010</t>
  </si>
  <si>
    <t>CBU5020</t>
  </si>
  <si>
    <t>CDA4210</t>
  </si>
  <si>
    <t>CDA4220</t>
  </si>
  <si>
    <t>CDA4230</t>
  </si>
  <si>
    <t>HPN4210</t>
  </si>
  <si>
    <t>HPN4220</t>
  </si>
  <si>
    <t>HPN4230</t>
  </si>
  <si>
    <t>HPN4240</t>
  </si>
  <si>
    <t>SAU4210</t>
  </si>
  <si>
    <t>SAU4220</t>
  </si>
  <si>
    <t>SAU4230</t>
  </si>
  <si>
    <t>SAU4010</t>
  </si>
  <si>
    <t>SAU4020</t>
  </si>
  <si>
    <t>SAU4030</t>
  </si>
  <si>
    <t>HOP3015</t>
  </si>
  <si>
    <t>HOP3025</t>
  </si>
  <si>
    <t>SHC4210</t>
  </si>
  <si>
    <t>SHC5010</t>
  </si>
  <si>
    <t>SHC5020</t>
  </si>
  <si>
    <t>HOP53015</t>
  </si>
  <si>
    <t>AKI42015</t>
  </si>
  <si>
    <t>CKD42010</t>
  </si>
  <si>
    <t>CMO42020</t>
  </si>
  <si>
    <t>CMO52010</t>
  </si>
  <si>
    <t>CYL52010</t>
  </si>
  <si>
    <t>CYL52020</t>
  </si>
  <si>
    <t>ESA42030</t>
  </si>
  <si>
    <t>ESA52020</t>
  </si>
  <si>
    <t>HCE42010</t>
  </si>
  <si>
    <t>KAL42010</t>
  </si>
  <si>
    <t>KAL42020</t>
  </si>
  <si>
    <t>LRA42050</t>
  </si>
  <si>
    <t>SAD42010</t>
  </si>
  <si>
    <t>SAM42015</t>
  </si>
  <si>
    <t>SAM42025</t>
  </si>
  <si>
    <t>SAM52035</t>
  </si>
  <si>
    <t>SBY52010</t>
  </si>
  <si>
    <t>SHC52010</t>
  </si>
  <si>
    <t>XPU52010</t>
  </si>
  <si>
    <t>CBU52010</t>
  </si>
  <si>
    <t>CAS52015</t>
  </si>
  <si>
    <t>CDAT10</t>
  </si>
  <si>
    <t>SBPT10</t>
  </si>
  <si>
    <t>HPNT10</t>
  </si>
  <si>
    <t>SHCT20</t>
  </si>
  <si>
    <t>SAUT10</t>
  </si>
  <si>
    <t>HOPT10</t>
  </si>
  <si>
    <t>HOP52015</t>
  </si>
  <si>
    <t>T2</t>
  </si>
  <si>
    <t>SHC5030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</si>
</sst>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43" formatCode="_-* #,##0.00_-;\-* #,##0.00_-;_-* &quot;-&quot;??_-;_-@_-"/>
    <numFmt numFmtId="164" formatCode="0.0000"/>
    <numFmt numFmtId="165" formatCode="0.000"/>
    <numFmt numFmtId="166" formatCode="0.0"/>
    <numFmt numFmtId="167" formatCode="#,##0.000"/>
    <numFmt numFmtId="168" formatCode="#,##0.0"/>
    <numFmt numFmtId="169" formatCode="_-* #,##0_-;\-* #,##0_-;_-* &quot;-&quot;??_-;_-@_-"/>
    <numFmt numFmtId="170" formatCode="_-* #,##0.0_-;\-* #,##0.0_-;_-* &quot;-&quot;??_-;_-@_-"/>
    <numFmt numFmtId="171" formatCode="_-* #,##0.000_-;\-* #,##0.000_-;_-* &quot;-&quot;??_-;_-@_-"/>
    <numFmt numFmtId="172" formatCode="#,##0.00000"/>
    <numFmt numFmtId="173" formatCode="_-* #,##0.0000_-;\-* #,##0.0000_-;_-* &quot;-&quot;??_-;_-@_-"/>
    <numFmt numFmtId="174" formatCode="0.000000"/>
  </numFmts>
  <fonts count="50" x14ac:knownFonts="1">
    <font>
      <sz val="10"/>
      <name val="Arial"/>
    </font>
    <font>
      <sz val="10"/>
      <name val="Arial"/>
    </font>
    <font>
      <b/>
      <sz val="10"/>
      <name val="Arial"/>
      <family val="2"/>
    </font>
    <font>
      <b/>
      <sz val="8"/>
      <name val="Arial"/>
      <family val="2"/>
    </font>
    <font>
      <b/>
      <sz val="8"/>
      <color indexed="9"/>
      <name val="Arial"/>
      <family val="2"/>
    </font>
    <font>
      <sz val="8"/>
      <name val="Arial"/>
      <family val="2"/>
    </font>
    <font>
      <sz val="8"/>
      <name val="Arial"/>
      <family val="2"/>
    </font>
    <font>
      <b/>
      <sz val="8"/>
      <color indexed="10"/>
      <name val="Arial"/>
      <family val="2"/>
    </font>
    <font>
      <sz val="8"/>
      <color indexed="10"/>
      <name val="Arial"/>
      <family val="2"/>
    </font>
    <font>
      <sz val="8"/>
      <color indexed="12"/>
      <name val="Arial"/>
      <family val="2"/>
    </font>
    <font>
      <sz val="8"/>
      <color indexed="12"/>
      <name val="Arial"/>
      <family val="2"/>
    </font>
    <font>
      <b/>
      <sz val="8"/>
      <color indexed="12"/>
      <name val="Arial"/>
      <family val="2"/>
    </font>
    <font>
      <b/>
      <sz val="8"/>
      <color indexed="17"/>
      <name val="Arial"/>
      <family val="2"/>
    </font>
    <font>
      <sz val="8"/>
      <color indexed="17"/>
      <name val="Arial"/>
      <family val="2"/>
    </font>
    <font>
      <sz val="10"/>
      <color indexed="9"/>
      <name val="Arial"/>
      <family val="2"/>
    </font>
    <font>
      <b/>
      <sz val="8"/>
      <color indexed="20"/>
      <name val="Arial"/>
      <family val="2"/>
    </font>
    <font>
      <sz val="10"/>
      <name val="Arial"/>
      <family val="2"/>
    </font>
    <font>
      <sz val="8"/>
      <name val="Arial"/>
      <family val="2"/>
    </font>
    <font>
      <sz val="8"/>
      <color indexed="12"/>
      <name val="Arial"/>
      <family val="2"/>
    </font>
    <font>
      <sz val="10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sz val="8"/>
      <color indexed="12"/>
      <name val="Arial"/>
      <family val="2"/>
    </font>
    <font>
      <sz val="10"/>
      <name val="Arial"/>
      <family val="2"/>
    </font>
    <font>
      <i/>
      <sz val="10"/>
      <color indexed="8"/>
      <name val="Arial"/>
      <family val="2"/>
    </font>
    <font>
      <sz val="10"/>
      <color indexed="8"/>
      <name val="Arial"/>
      <family val="2"/>
    </font>
    <font>
      <sz val="9"/>
      <name val="Arial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8"/>
      <color indexed="81"/>
      <name val="Tahoma"/>
      <family val="2"/>
    </font>
    <font>
      <b/>
      <sz val="8"/>
      <color indexed="81"/>
      <name val="Tahoma"/>
      <family val="2"/>
    </font>
    <font>
      <sz val="10"/>
      <name val="Arial"/>
      <family val="2"/>
    </font>
    <font>
      <sz val="10"/>
      <name val="Arial"/>
      <family val="2"/>
    </font>
    <font>
      <b/>
      <sz val="11"/>
      <name val="Arial"/>
      <family val="2"/>
    </font>
    <font>
      <b/>
      <sz val="9"/>
      <name val="Arial"/>
      <family val="2"/>
    </font>
    <font>
      <sz val="10"/>
      <name val="Arial"/>
      <family val="2"/>
    </font>
    <font>
      <sz val="10"/>
      <name val="Arial"/>
      <family val="2"/>
    </font>
    <font>
      <sz val="8"/>
      <name val="Arial"/>
      <family val="2"/>
    </font>
    <font>
      <sz val="9"/>
      <color indexed="9"/>
      <name val="Arial"/>
      <family val="2"/>
    </font>
    <font>
      <sz val="11"/>
      <color rgb="FF000000"/>
      <name val="Calibri"/>
    </font>
    <font>
      <b/>
      <sz val="11"/>
      <color theme="1"/>
      <name val="Calibri"/>
      <family val="2"/>
      <scheme val="minor"/>
    </font>
    <font>
      <sz val="8"/>
      <color rgb="FFFF0000"/>
      <name val="Arial"/>
      <family val="2"/>
    </font>
    <font>
      <sz val="8"/>
      <color theme="1"/>
      <name val="Arial"/>
      <family val="2"/>
    </font>
    <font>
      <b/>
      <sz val="8"/>
      <color theme="1"/>
      <name val="Arial"/>
      <family val="2"/>
    </font>
    <font>
      <sz val="9"/>
      <name val="Calibri"/>
      <family val="2"/>
      <scheme val="minor"/>
    </font>
    <font>
      <sz val="9"/>
      <color rgb="FFFFFFFF"/>
      <name val="Arial"/>
      <family val="2"/>
    </font>
    <font>
      <sz val="9"/>
      <color rgb="FF0D0D0D"/>
      <name val="Arial"/>
      <family val="2"/>
    </font>
    <font>
      <sz val="9"/>
      <color theme="1"/>
      <name val="Arial"/>
      <family val="2"/>
    </font>
    <font>
      <b/>
      <sz val="9"/>
      <color rgb="FFFFFFFF"/>
      <name val="Calibri"/>
      <family val="2"/>
      <scheme val="minor"/>
    </font>
    <font>
      <b/>
      <sz val="16"/>
      <color theme="0"/>
      <name val="Aharoni"/>
      <charset val="177"/>
    </font>
  </fonts>
  <fills count="25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FF6600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double">
        <color indexed="64"/>
      </top>
      <bottom style="thin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/>
    <xf numFmtId="43" fontId="1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6" fillId="0" borderId="0" applyFont="0" applyFill="0" applyBorder="0" applyAlignment="0" applyProtection="0"/>
    <xf numFmtId="43" fontId="36" fillId="0" borderId="0" applyFont="0" applyFill="0" applyBorder="0" applyAlignment="0" applyProtection="0"/>
    <xf numFmtId="0" fontId="39" fillId="0" borderId="0"/>
    <xf numFmtId="9" fontId="1" fillId="0" borderId="0" applyFont="0" applyFill="0" applyBorder="0" applyAlignment="0" applyProtection="0"/>
    <xf numFmtId="9" fontId="35" fillId="0" borderId="0" applyFont="0" applyFill="0" applyBorder="0" applyAlignment="0" applyProtection="0"/>
    <xf numFmtId="9" fontId="36" fillId="0" borderId="0" applyFont="0" applyFill="0" applyBorder="0" applyAlignment="0" applyProtection="0"/>
  </cellStyleXfs>
  <cellXfs count="414">
    <xf numFmtId="0" fontId="0" fillId="0" borderId="0" xfId="0"/>
    <xf numFmtId="0" fontId="6" fillId="0" borderId="1" xfId="0" applyFont="1" applyBorder="1"/>
    <xf numFmtId="49" fontId="3" fillId="0" borderId="1" xfId="0" applyNumberFormat="1" applyFont="1" applyBorder="1" applyAlignment="1">
      <alignment horizontal="right"/>
    </xf>
    <xf numFmtId="0" fontId="5" fillId="0" borderId="1" xfId="0" applyFont="1" applyBorder="1"/>
    <xf numFmtId="4" fontId="5" fillId="0" borderId="1" xfId="0" applyNumberFormat="1" applyFont="1" applyBorder="1"/>
    <xf numFmtId="0" fontId="0" fillId="0" borderId="1" xfId="0" applyBorder="1"/>
    <xf numFmtId="4" fontId="5" fillId="2" borderId="1" xfId="0" applyNumberFormat="1" applyFont="1" applyFill="1" applyBorder="1"/>
    <xf numFmtId="0" fontId="7" fillId="0" borderId="1" xfId="0" applyFont="1" applyBorder="1" applyAlignment="1">
      <alignment horizontal="left"/>
    </xf>
    <xf numFmtId="0" fontId="7" fillId="0" borderId="1" xfId="0" applyFont="1" applyBorder="1"/>
    <xf numFmtId="0" fontId="8" fillId="0" borderId="1" xfId="0" applyFont="1" applyBorder="1"/>
    <xf numFmtId="4" fontId="8" fillId="0" borderId="1" xfId="0" applyNumberFormat="1" applyFont="1" applyBorder="1"/>
    <xf numFmtId="0" fontId="10" fillId="0" borderId="1" xfId="0" applyFont="1" applyBorder="1"/>
    <xf numFmtId="0" fontId="11" fillId="0" borderId="1" xfId="0" applyFont="1" applyBorder="1"/>
    <xf numFmtId="0" fontId="9" fillId="0" borderId="1" xfId="0" applyFont="1" applyBorder="1"/>
    <xf numFmtId="4" fontId="9" fillId="0" borderId="1" xfId="0" applyNumberFormat="1" applyFont="1" applyBorder="1"/>
    <xf numFmtId="0" fontId="12" fillId="0" borderId="1" xfId="0" applyFont="1" applyBorder="1"/>
    <xf numFmtId="0" fontId="13" fillId="0" borderId="1" xfId="0" applyFont="1" applyBorder="1"/>
    <xf numFmtId="4" fontId="13" fillId="0" borderId="1" xfId="0" applyNumberFormat="1" applyFont="1" applyBorder="1"/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0" fontId="2" fillId="0" borderId="0" xfId="0" applyFont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49" fontId="4" fillId="0" borderId="0" xfId="0" applyNumberFormat="1" applyFont="1" applyFill="1" applyBorder="1" applyAlignment="1">
      <alignment horizontal="center" vertical="center"/>
    </xf>
    <xf numFmtId="17" fontId="4" fillId="0" borderId="0" xfId="0" applyNumberFormat="1" applyFont="1" applyFill="1" applyBorder="1" applyAlignment="1">
      <alignment horizontal="center" vertical="center"/>
    </xf>
    <xf numFmtId="0" fontId="0" fillId="0" borderId="0" xfId="0" applyFill="1"/>
    <xf numFmtId="4" fontId="3" fillId="0" borderId="1" xfId="0" applyNumberFormat="1" applyFont="1" applyBorder="1" applyAlignment="1" applyProtection="1">
      <alignment horizontal="right"/>
      <protection locked="0"/>
    </xf>
    <xf numFmtId="4" fontId="0" fillId="0" borderId="0" xfId="0" applyNumberFormat="1"/>
    <xf numFmtId="4" fontId="7" fillId="0" borderId="1" xfId="0" applyNumberFormat="1" applyFont="1" applyBorder="1" applyAlignment="1">
      <alignment horizontal="left"/>
    </xf>
    <xf numFmtId="4" fontId="11" fillId="0" borderId="1" xfId="0" applyNumberFormat="1" applyFont="1" applyBorder="1"/>
    <xf numFmtId="4" fontId="12" fillId="0" borderId="1" xfId="0" applyNumberFormat="1" applyFont="1" applyBorder="1"/>
    <xf numFmtId="0" fontId="0" fillId="0" borderId="2" xfId="0" applyBorder="1"/>
    <xf numFmtId="0" fontId="0" fillId="0" borderId="3" xfId="0" applyBorder="1"/>
    <xf numFmtId="0" fontId="9" fillId="0" borderId="0" xfId="0" applyFont="1" applyBorder="1"/>
    <xf numFmtId="4" fontId="9" fillId="0" borderId="0" xfId="0" applyNumberFormat="1" applyFont="1" applyBorder="1"/>
    <xf numFmtId="4" fontId="9" fillId="0" borderId="1" xfId="0" applyNumberFormat="1" applyFont="1" applyFill="1" applyBorder="1"/>
    <xf numFmtId="4" fontId="9" fillId="0" borderId="0" xfId="0" applyNumberFormat="1" applyFont="1" applyFill="1" applyBorder="1"/>
    <xf numFmtId="0" fontId="5" fillId="0" borderId="1" xfId="0" applyFont="1" applyFill="1" applyBorder="1"/>
    <xf numFmtId="4" fontId="5" fillId="0" borderId="1" xfId="0" applyNumberFormat="1" applyFont="1" applyFill="1" applyBorder="1"/>
    <xf numFmtId="49" fontId="3" fillId="0" borderId="1" xfId="0" applyNumberFormat="1" applyFont="1" applyBorder="1" applyAlignment="1">
      <alignment horizontal="center"/>
    </xf>
    <xf numFmtId="3" fontId="0" fillId="0" borderId="0" xfId="0" applyNumberFormat="1"/>
    <xf numFmtId="4" fontId="0" fillId="0" borderId="0" xfId="0" applyNumberFormat="1" applyFill="1"/>
    <xf numFmtId="3" fontId="5" fillId="3" borderId="1" xfId="0" applyNumberFormat="1" applyFont="1" applyFill="1" applyBorder="1"/>
    <xf numFmtId="3" fontId="8" fillId="0" borderId="1" xfId="0" applyNumberFormat="1" applyFont="1" applyBorder="1"/>
    <xf numFmtId="3" fontId="5" fillId="0" borderId="1" xfId="0" applyNumberFormat="1" applyFont="1" applyBorder="1"/>
    <xf numFmtId="3" fontId="9" fillId="0" borderId="1" xfId="0" applyNumberFormat="1" applyFont="1" applyBorder="1"/>
    <xf numFmtId="3" fontId="13" fillId="0" borderId="1" xfId="0" applyNumberFormat="1" applyFont="1" applyBorder="1"/>
    <xf numFmtId="3" fontId="0" fillId="0" borderId="1" xfId="0" applyNumberFormat="1" applyBorder="1"/>
    <xf numFmtId="3" fontId="5" fillId="0" borderId="1" xfId="0" applyNumberFormat="1" applyFont="1" applyFill="1" applyBorder="1"/>
    <xf numFmtId="0" fontId="0" fillId="0" borderId="0" xfId="0" applyBorder="1"/>
    <xf numFmtId="3" fontId="9" fillId="0" borderId="1" xfId="0" applyNumberFormat="1" applyFont="1" applyFill="1" applyBorder="1"/>
    <xf numFmtId="0" fontId="6" fillId="0" borderId="1" xfId="0" applyFont="1" applyFill="1" applyBorder="1"/>
    <xf numFmtId="0" fontId="0" fillId="0" borderId="2" xfId="0" applyFill="1" applyBorder="1"/>
    <xf numFmtId="0" fontId="0" fillId="0" borderId="3" xfId="0" applyFill="1" applyBorder="1"/>
    <xf numFmtId="0" fontId="7" fillId="0" borderId="1" xfId="0" applyFont="1" applyFill="1" applyBorder="1"/>
    <xf numFmtId="0" fontId="8" fillId="0" borderId="1" xfId="0" applyFont="1" applyFill="1" applyBorder="1"/>
    <xf numFmtId="4" fontId="8" fillId="0" borderId="1" xfId="0" applyNumberFormat="1" applyFont="1" applyFill="1" applyBorder="1"/>
    <xf numFmtId="0" fontId="10" fillId="0" borderId="1" xfId="0" applyFont="1" applyFill="1" applyBorder="1"/>
    <xf numFmtId="0" fontId="13" fillId="0" borderId="1" xfId="0" applyFont="1" applyFill="1" applyBorder="1"/>
    <xf numFmtId="4" fontId="13" fillId="0" borderId="1" xfId="0" applyNumberFormat="1" applyFont="1" applyFill="1" applyBorder="1"/>
    <xf numFmtId="0" fontId="3" fillId="0" borderId="0" xfId="0" applyFont="1" applyFill="1" applyBorder="1" applyAlignment="1">
      <alignment horizontal="center" vertical="center"/>
    </xf>
    <xf numFmtId="17" fontId="3" fillId="0" borderId="0" xfId="0" applyNumberFormat="1" applyFont="1" applyFill="1" applyBorder="1" applyAlignment="1">
      <alignment horizontal="center" vertical="center"/>
    </xf>
    <xf numFmtId="0" fontId="0" fillId="0" borderId="1" xfId="0" applyFill="1" applyBorder="1"/>
    <xf numFmtId="3" fontId="8" fillId="0" borderId="1" xfId="0" applyNumberFormat="1" applyFont="1" applyFill="1" applyBorder="1"/>
    <xf numFmtId="3" fontId="13" fillId="0" borderId="1" xfId="0" applyNumberFormat="1" applyFont="1" applyFill="1" applyBorder="1"/>
    <xf numFmtId="0" fontId="0" fillId="0" borderId="0" xfId="0" applyFill="1" applyBorder="1"/>
    <xf numFmtId="4" fontId="3" fillId="0" borderId="1" xfId="0" applyNumberFormat="1" applyFont="1" applyFill="1" applyBorder="1" applyAlignment="1">
      <alignment horizontal="right"/>
    </xf>
    <xf numFmtId="49" fontId="3" fillId="0" borderId="1" xfId="0" applyNumberFormat="1" applyFont="1" applyFill="1" applyBorder="1" applyAlignment="1">
      <alignment horizontal="right"/>
    </xf>
    <xf numFmtId="0" fontId="9" fillId="0" borderId="1" xfId="0" applyFont="1" applyFill="1" applyBorder="1"/>
    <xf numFmtId="4" fontId="12" fillId="0" borderId="1" xfId="0" applyNumberFormat="1" applyFont="1" applyFill="1" applyBorder="1"/>
    <xf numFmtId="0" fontId="12" fillId="0" borderId="1" xfId="0" applyFont="1" applyFill="1" applyBorder="1"/>
    <xf numFmtId="4" fontId="11" fillId="0" borderId="1" xfId="0" applyNumberFormat="1" applyFont="1" applyFill="1" applyBorder="1"/>
    <xf numFmtId="0" fontId="11" fillId="0" borderId="1" xfId="0" applyFont="1" applyFill="1" applyBorder="1"/>
    <xf numFmtId="4" fontId="7" fillId="0" borderId="1" xfId="0" applyNumberFormat="1" applyFont="1" applyFill="1" applyBorder="1" applyAlignment="1">
      <alignment horizontal="left"/>
    </xf>
    <xf numFmtId="0" fontId="7" fillId="0" borderId="1" xfId="0" applyFont="1" applyFill="1" applyBorder="1" applyAlignment="1">
      <alignment horizontal="left"/>
    </xf>
    <xf numFmtId="49" fontId="4" fillId="0" borderId="4" xfId="0" applyNumberFormat="1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center"/>
    </xf>
    <xf numFmtId="0" fontId="0" fillId="0" borderId="0" xfId="0" applyAlignment="1"/>
    <xf numFmtId="4" fontId="5" fillId="0" borderId="0" xfId="0" applyNumberFormat="1" applyFont="1" applyFill="1" applyBorder="1"/>
    <xf numFmtId="0" fontId="14" fillId="0" borderId="0" xfId="0" applyFont="1"/>
    <xf numFmtId="3" fontId="5" fillId="2" borderId="1" xfId="0" applyNumberFormat="1" applyFont="1" applyFill="1" applyBorder="1"/>
    <xf numFmtId="4" fontId="9" fillId="2" borderId="1" xfId="0" applyNumberFormat="1" applyFont="1" applyFill="1" applyBorder="1"/>
    <xf numFmtId="4" fontId="0" fillId="0" borderId="0" xfId="0" applyNumberFormat="1" applyAlignment="1">
      <alignment horizontal="center"/>
    </xf>
    <xf numFmtId="3" fontId="9" fillId="2" borderId="1" xfId="0" applyNumberFormat="1" applyFont="1" applyFill="1" applyBorder="1"/>
    <xf numFmtId="4" fontId="5" fillId="0" borderId="0" xfId="0" applyNumberFormat="1" applyFont="1" applyBorder="1"/>
    <xf numFmtId="0" fontId="9" fillId="0" borderId="0" xfId="0" applyFont="1" applyFill="1" applyBorder="1"/>
    <xf numFmtId="4" fontId="0" fillId="0" borderId="0" xfId="0" applyNumberFormat="1" applyBorder="1"/>
    <xf numFmtId="0" fontId="5" fillId="0" borderId="0" xfId="0" applyFont="1" applyBorder="1"/>
    <xf numFmtId="49" fontId="3" fillId="0" borderId="0" xfId="0" applyNumberFormat="1" applyFont="1" applyBorder="1" applyAlignment="1">
      <alignment horizontal="right"/>
    </xf>
    <xf numFmtId="0" fontId="6" fillId="0" borderId="0" xfId="0" applyFont="1" applyBorder="1"/>
    <xf numFmtId="0" fontId="6" fillId="0" borderId="0" xfId="0" applyFont="1" applyFill="1" applyBorder="1"/>
    <xf numFmtId="0" fontId="5" fillId="0" borderId="0" xfId="0" applyFont="1" applyFill="1" applyBorder="1"/>
    <xf numFmtId="4" fontId="0" fillId="0" borderId="0" xfId="0" applyNumberFormat="1" applyFill="1" applyBorder="1"/>
    <xf numFmtId="4" fontId="15" fillId="0" borderId="1" xfId="0" applyNumberFormat="1" applyFont="1" applyBorder="1" applyAlignment="1">
      <alignment horizontal="right"/>
    </xf>
    <xf numFmtId="49" fontId="15" fillId="0" borderId="1" xfId="0" applyNumberFormat="1" applyFont="1" applyBorder="1" applyAlignment="1">
      <alignment horizontal="left"/>
    </xf>
    <xf numFmtId="0" fontId="2" fillId="0" borderId="0" xfId="0" applyFont="1" applyAlignment="1">
      <alignment vertical="center"/>
    </xf>
    <xf numFmtId="0" fontId="4" fillId="4" borderId="5" xfId="0" applyFont="1" applyFill="1" applyBorder="1" applyAlignment="1">
      <alignment vertical="center"/>
    </xf>
    <xf numFmtId="0" fontId="4" fillId="4" borderId="6" xfId="0" applyFont="1" applyFill="1" applyBorder="1" applyAlignment="1">
      <alignment vertical="center"/>
    </xf>
    <xf numFmtId="0" fontId="17" fillId="0" borderId="1" xfId="0" applyFont="1" applyBorder="1"/>
    <xf numFmtId="4" fontId="17" fillId="0" borderId="1" xfId="0" applyNumberFormat="1" applyFont="1" applyFill="1" applyBorder="1"/>
    <xf numFmtId="0" fontId="18" fillId="0" borderId="1" xfId="0" applyFont="1" applyBorder="1"/>
    <xf numFmtId="3" fontId="18" fillId="0" borderId="1" xfId="0" applyNumberFormat="1" applyFont="1" applyBorder="1"/>
    <xf numFmtId="3" fontId="18" fillId="0" borderId="1" xfId="0" applyNumberFormat="1" applyFont="1" applyFill="1" applyBorder="1"/>
    <xf numFmtId="4" fontId="18" fillId="0" borderId="1" xfId="0" applyNumberFormat="1" applyFont="1" applyFill="1" applyBorder="1"/>
    <xf numFmtId="4" fontId="18" fillId="0" borderId="1" xfId="0" applyNumberFormat="1" applyFont="1" applyBorder="1"/>
    <xf numFmtId="0" fontId="18" fillId="0" borderId="0" xfId="0" applyFont="1" applyBorder="1"/>
    <xf numFmtId="4" fontId="18" fillId="0" borderId="0" xfId="0" applyNumberFormat="1" applyFont="1" applyBorder="1"/>
    <xf numFmtId="4" fontId="18" fillId="0" borderId="0" xfId="0" applyNumberFormat="1" applyFont="1" applyFill="1" applyBorder="1"/>
    <xf numFmtId="0" fontId="19" fillId="0" borderId="0" xfId="0" applyFont="1" applyFill="1" applyBorder="1"/>
    <xf numFmtId="0" fontId="20" fillId="0" borderId="1" xfId="0" applyFont="1" applyFill="1" applyBorder="1"/>
    <xf numFmtId="0" fontId="41" fillId="0" borderId="1" xfId="0" applyFont="1" applyBorder="1"/>
    <xf numFmtId="0" fontId="17" fillId="0" borderId="0" xfId="0" applyFont="1" applyBorder="1"/>
    <xf numFmtId="4" fontId="17" fillId="0" borderId="0" xfId="0" applyNumberFormat="1" applyFont="1" applyFill="1" applyBorder="1"/>
    <xf numFmtId="4" fontId="22" fillId="0" borderId="1" xfId="0" applyNumberFormat="1" applyFont="1" applyBorder="1"/>
    <xf numFmtId="4" fontId="22" fillId="0" borderId="1" xfId="0" applyNumberFormat="1" applyFont="1" applyFill="1" applyBorder="1"/>
    <xf numFmtId="4" fontId="22" fillId="2" borderId="1" xfId="0" applyNumberFormat="1" applyFont="1" applyFill="1" applyBorder="1"/>
    <xf numFmtId="4" fontId="22" fillId="0" borderId="0" xfId="0" applyNumberFormat="1" applyFont="1" applyBorder="1"/>
    <xf numFmtId="4" fontId="22" fillId="0" borderId="0" xfId="0" applyNumberFormat="1" applyFont="1" applyFill="1" applyBorder="1"/>
    <xf numFmtId="3" fontId="5" fillId="0" borderId="0" xfId="0" applyNumberFormat="1" applyFont="1" applyFill="1" applyBorder="1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21" fillId="0" borderId="1" xfId="0" applyFont="1" applyFill="1" applyBorder="1"/>
    <xf numFmtId="0" fontId="22" fillId="0" borderId="1" xfId="0" applyFont="1" applyFill="1" applyBorder="1"/>
    <xf numFmtId="0" fontId="22" fillId="0" borderId="0" xfId="0" applyFont="1" applyFill="1" applyBorder="1"/>
    <xf numFmtId="0" fontId="0" fillId="0" borderId="0" xfId="0" applyAlignment="1">
      <alignment horizontal="left" vertical="center"/>
    </xf>
    <xf numFmtId="3" fontId="21" fillId="0" borderId="1" xfId="0" applyNumberFormat="1" applyFont="1" applyBorder="1"/>
    <xf numFmtId="4" fontId="17" fillId="0" borderId="7" xfId="0" applyNumberFormat="1" applyFont="1" applyFill="1" applyBorder="1"/>
    <xf numFmtId="0" fontId="19" fillId="0" borderId="2" xfId="0" applyFont="1" applyFill="1" applyBorder="1"/>
    <xf numFmtId="0" fontId="23" fillId="0" borderId="1" xfId="0" applyFont="1" applyFill="1" applyBorder="1" applyProtection="1"/>
    <xf numFmtId="0" fontId="16" fillId="0" borderId="1" xfId="0" applyFont="1" applyFill="1" applyBorder="1" applyProtection="1"/>
    <xf numFmtId="0" fontId="0" fillId="0" borderId="1" xfId="0" applyFill="1" applyBorder="1" applyAlignment="1">
      <alignment horizontal="center"/>
    </xf>
    <xf numFmtId="0" fontId="24" fillId="0" borderId="1" xfId="0" applyFont="1" applyFill="1" applyBorder="1" applyAlignment="1" applyProtection="1">
      <alignment horizontal="center" vertical="center"/>
    </xf>
    <xf numFmtId="0" fontId="25" fillId="0" borderId="1" xfId="0" applyFont="1" applyFill="1" applyBorder="1" applyAlignment="1" applyProtection="1">
      <alignment horizontal="center" vertical="center"/>
    </xf>
    <xf numFmtId="0" fontId="5" fillId="0" borderId="0" xfId="0" applyFont="1"/>
    <xf numFmtId="0" fontId="5" fillId="0" borderId="0" xfId="0" applyFont="1" applyAlignment="1">
      <alignment horizontal="center" vertical="center"/>
    </xf>
    <xf numFmtId="0" fontId="16" fillId="0" borderId="0" xfId="0" applyFont="1"/>
    <xf numFmtId="0" fontId="2" fillId="0" borderId="0" xfId="0" applyFont="1" applyFill="1" applyBorder="1" applyAlignment="1">
      <alignment horizontal="center" vertical="center"/>
    </xf>
    <xf numFmtId="3" fontId="10" fillId="0" borderId="1" xfId="0" applyNumberFormat="1" applyFont="1" applyFill="1" applyBorder="1"/>
    <xf numFmtId="3" fontId="10" fillId="0" borderId="1" xfId="0" applyNumberFormat="1" applyFont="1" applyBorder="1"/>
    <xf numFmtId="3" fontId="0" fillId="0" borderId="0" xfId="0" applyNumberFormat="1" applyFill="1"/>
    <xf numFmtId="3" fontId="22" fillId="0" borderId="1" xfId="0" applyNumberFormat="1" applyFont="1" applyBorder="1"/>
    <xf numFmtId="0" fontId="16" fillId="5" borderId="1" xfId="0" applyFont="1" applyFill="1" applyBorder="1" applyProtection="1"/>
    <xf numFmtId="0" fontId="0" fillId="5" borderId="1" xfId="0" applyFill="1" applyBorder="1"/>
    <xf numFmtId="0" fontId="0" fillId="0" borderId="0" xfId="0" applyFill="1" applyBorder="1" applyAlignment="1">
      <alignment horizontal="center"/>
    </xf>
    <xf numFmtId="43" fontId="0" fillId="0" borderId="0" xfId="1" applyFont="1"/>
    <xf numFmtId="0" fontId="16" fillId="0" borderId="1" xfId="0" applyFont="1" applyBorder="1" applyAlignment="1">
      <alignment horizontal="center" vertical="center"/>
    </xf>
    <xf numFmtId="3" fontId="0" fillId="0" borderId="1" xfId="0" applyNumberFormat="1" applyFill="1" applyBorder="1"/>
    <xf numFmtId="0" fontId="16" fillId="5" borderId="1" xfId="0" applyFont="1" applyFill="1" applyBorder="1" applyAlignment="1">
      <alignment horizontal="right"/>
    </xf>
    <xf numFmtId="43" fontId="2" fillId="5" borderId="1" xfId="1" applyFont="1" applyFill="1" applyBorder="1"/>
    <xf numFmtId="0" fontId="23" fillId="5" borderId="1" xfId="0" applyFont="1" applyFill="1" applyBorder="1" applyProtection="1"/>
    <xf numFmtId="0" fontId="0" fillId="0" borderId="1" xfId="0" applyFill="1" applyBorder="1" applyAlignment="1">
      <alignment horizontal="center" vertical="center"/>
    </xf>
    <xf numFmtId="0" fontId="16" fillId="5" borderId="1" xfId="0" applyFont="1" applyFill="1" applyBorder="1"/>
    <xf numFmtId="0" fontId="16" fillId="0" borderId="1" xfId="0" applyFont="1" applyFill="1" applyBorder="1" applyAlignment="1">
      <alignment horizontal="center"/>
    </xf>
    <xf numFmtId="0" fontId="24" fillId="5" borderId="1" xfId="0" applyFont="1" applyFill="1" applyBorder="1" applyAlignment="1" applyProtection="1">
      <alignment horizontal="center" vertical="center"/>
    </xf>
    <xf numFmtId="0" fontId="25" fillId="5" borderId="1" xfId="0" applyFont="1" applyFill="1" applyBorder="1" applyAlignment="1" applyProtection="1">
      <alignment horizontal="center" vertical="center"/>
    </xf>
    <xf numFmtId="0" fontId="16" fillId="5" borderId="0" xfId="0" applyFont="1" applyFill="1" applyAlignment="1">
      <alignment horizontal="center" vertical="center"/>
    </xf>
    <xf numFmtId="0" fontId="2" fillId="0" borderId="1" xfId="0" applyFont="1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/>
    </xf>
    <xf numFmtId="0" fontId="16" fillId="0" borderId="1" xfId="0" applyFont="1" applyFill="1" applyBorder="1"/>
    <xf numFmtId="0" fontId="16" fillId="0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left"/>
    </xf>
    <xf numFmtId="0" fontId="2" fillId="6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2" fillId="7" borderId="1" xfId="0" applyFont="1" applyFill="1" applyBorder="1" applyAlignment="1">
      <alignment horizontal="left"/>
    </xf>
    <xf numFmtId="0" fontId="2" fillId="7" borderId="1" xfId="0" applyFont="1" applyFill="1" applyBorder="1"/>
    <xf numFmtId="0" fontId="2" fillId="7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left" vertical="center"/>
    </xf>
    <xf numFmtId="3" fontId="11" fillId="0" borderId="1" xfId="0" applyNumberFormat="1" applyFont="1" applyFill="1" applyBorder="1"/>
    <xf numFmtId="0" fontId="2" fillId="0" borderId="1" xfId="0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/>
    </xf>
    <xf numFmtId="4" fontId="0" fillId="0" borderId="2" xfId="0" applyNumberFormat="1" applyFill="1" applyBorder="1"/>
    <xf numFmtId="4" fontId="0" fillId="0" borderId="3" xfId="0" applyNumberFormat="1" applyFill="1" applyBorder="1"/>
    <xf numFmtId="0" fontId="42" fillId="0" borderId="1" xfId="0" applyFont="1" applyFill="1" applyBorder="1"/>
    <xf numFmtId="2" fontId="5" fillId="0" borderId="1" xfId="0" applyNumberFormat="1" applyFont="1" applyFill="1" applyBorder="1"/>
    <xf numFmtId="169" fontId="5" fillId="0" borderId="1" xfId="1" applyNumberFormat="1" applyFont="1" applyFill="1" applyBorder="1"/>
    <xf numFmtId="4" fontId="3" fillId="0" borderId="0" xfId="0" applyNumberFormat="1" applyFont="1" applyFill="1" applyBorder="1" applyAlignment="1">
      <alignment horizontal="right"/>
    </xf>
    <xf numFmtId="49" fontId="3" fillId="0" borderId="0" xfId="0" applyNumberFormat="1" applyFont="1" applyFill="1" applyBorder="1" applyAlignment="1">
      <alignment horizontal="right"/>
    </xf>
    <xf numFmtId="43" fontId="5" fillId="0" borderId="1" xfId="1" applyNumberFormat="1" applyFont="1" applyFill="1" applyBorder="1"/>
    <xf numFmtId="4" fontId="21" fillId="0" borderId="1" xfId="0" applyNumberFormat="1" applyFont="1" applyFill="1" applyBorder="1"/>
    <xf numFmtId="3" fontId="22" fillId="0" borderId="1" xfId="0" applyNumberFormat="1" applyFont="1" applyFill="1" applyBorder="1"/>
    <xf numFmtId="3" fontId="17" fillId="0" borderId="1" xfId="0" applyNumberFormat="1" applyFont="1" applyFill="1" applyBorder="1"/>
    <xf numFmtId="0" fontId="16" fillId="7" borderId="1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/>
    </xf>
    <xf numFmtId="0" fontId="0" fillId="0" borderId="0" xfId="0" applyBorder="1" applyAlignment="1">
      <alignment horizontal="center" vertical="center"/>
    </xf>
    <xf numFmtId="0" fontId="16" fillId="7" borderId="1" xfId="0" applyFont="1" applyFill="1" applyBorder="1" applyAlignment="1">
      <alignment horizontal="left" vertical="center"/>
    </xf>
    <xf numFmtId="2" fontId="0" fillId="0" borderId="1" xfId="1" applyNumberFormat="1" applyFont="1" applyBorder="1" applyAlignment="1">
      <alignment horizontal="center" vertical="center"/>
    </xf>
    <xf numFmtId="2" fontId="0" fillId="0" borderId="1" xfId="1" applyNumberFormat="1" applyFont="1" applyBorder="1" applyAlignment="1">
      <alignment horizontal="center"/>
    </xf>
    <xf numFmtId="2" fontId="0" fillId="0" borderId="1" xfId="0" applyNumberFormat="1" applyBorder="1" applyAlignment="1">
      <alignment horizontal="center" vertical="center"/>
    </xf>
    <xf numFmtId="2" fontId="31" fillId="0" borderId="1" xfId="1" applyNumberFormat="1" applyFont="1" applyFill="1" applyBorder="1" applyAlignment="1">
      <alignment horizontal="center" vertical="center"/>
    </xf>
    <xf numFmtId="2" fontId="2" fillId="0" borderId="1" xfId="0" applyNumberFormat="1" applyFont="1" applyBorder="1" applyAlignment="1">
      <alignment horizontal="center"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1" xfId="0" applyBorder="1" applyAlignment="1">
      <alignment vertical="center"/>
    </xf>
    <xf numFmtId="0" fontId="40" fillId="7" borderId="1" xfId="0" applyFont="1" applyFill="1" applyBorder="1"/>
    <xf numFmtId="0" fontId="40" fillId="7" borderId="1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center"/>
    </xf>
    <xf numFmtId="0" fontId="2" fillId="7" borderId="0" xfId="0" applyFont="1" applyFill="1" applyBorder="1" applyAlignment="1">
      <alignment horizontal="center" vertical="center"/>
    </xf>
    <xf numFmtId="0" fontId="2" fillId="6" borderId="0" xfId="0" applyFont="1" applyFill="1" applyBorder="1" applyAlignment="1">
      <alignment horizontal="center"/>
    </xf>
    <xf numFmtId="0" fontId="2" fillId="5" borderId="0" xfId="0" applyFont="1" applyFill="1" applyBorder="1" applyAlignment="1">
      <alignment horizontal="center"/>
    </xf>
    <xf numFmtId="2" fontId="0" fillId="9" borderId="1" xfId="0" applyNumberForma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center"/>
    </xf>
    <xf numFmtId="0" fontId="40" fillId="0" borderId="0" xfId="0" applyFont="1" applyFill="1" applyBorder="1"/>
    <xf numFmtId="0" fontId="2" fillId="6" borderId="0" xfId="0" applyFont="1" applyFill="1" applyBorder="1" applyAlignment="1">
      <alignment horizontal="center" vertical="center"/>
    </xf>
    <xf numFmtId="9" fontId="2" fillId="10" borderId="1" xfId="6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17" fontId="4" fillId="4" borderId="5" xfId="0" applyNumberFormat="1" applyFont="1" applyFill="1" applyBorder="1" applyAlignment="1">
      <alignment vertical="center"/>
    </xf>
    <xf numFmtId="3" fontId="8" fillId="0" borderId="1" xfId="0" applyNumberFormat="1" applyFont="1" applyBorder="1" applyAlignment="1">
      <alignment horizontal="right" vertical="center"/>
    </xf>
    <xf numFmtId="3" fontId="5" fillId="11" borderId="1" xfId="0" applyNumberFormat="1" applyFont="1" applyFill="1" applyBorder="1"/>
    <xf numFmtId="0" fontId="0" fillId="11" borderId="1" xfId="0" applyFill="1" applyBorder="1"/>
    <xf numFmtId="169" fontId="5" fillId="9" borderId="1" xfId="1" applyNumberFormat="1" applyFont="1" applyFill="1" applyBorder="1"/>
    <xf numFmtId="0" fontId="16" fillId="5" borderId="1" xfId="0" applyFont="1" applyFill="1" applyBorder="1" applyAlignment="1">
      <alignment horizontal="center" vertical="center"/>
    </xf>
    <xf numFmtId="0" fontId="16" fillId="5" borderId="1" xfId="0" applyFont="1" applyFill="1" applyBorder="1" applyAlignment="1">
      <alignment horizontal="center"/>
    </xf>
    <xf numFmtId="1" fontId="0" fillId="0" borderId="1" xfId="1" applyNumberFormat="1" applyFont="1" applyBorder="1" applyAlignment="1">
      <alignment horizontal="center"/>
    </xf>
    <xf numFmtId="169" fontId="0" fillId="0" borderId="0" xfId="1" applyNumberFormat="1" applyFont="1" applyAlignment="1">
      <alignment horizontal="center" vertical="center"/>
    </xf>
    <xf numFmtId="0" fontId="40" fillId="0" borderId="0" xfId="0" applyFont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/>
    </xf>
    <xf numFmtId="0" fontId="2" fillId="12" borderId="1" xfId="0" applyFont="1" applyFill="1" applyBorder="1" applyAlignment="1">
      <alignment horizontal="center"/>
    </xf>
    <xf numFmtId="166" fontId="2" fillId="12" borderId="1" xfId="1" applyNumberFormat="1" applyFont="1" applyFill="1" applyBorder="1" applyAlignment="1">
      <alignment horizontal="center" vertical="center"/>
    </xf>
    <xf numFmtId="2" fontId="32" fillId="12" borderId="1" xfId="1" applyNumberFormat="1" applyFont="1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170" fontId="2" fillId="0" borderId="1" xfId="1" applyNumberFormat="1" applyFont="1" applyBorder="1" applyAlignment="1">
      <alignment horizontal="center" vertical="center"/>
    </xf>
    <xf numFmtId="166" fontId="2" fillId="0" borderId="1" xfId="1" applyNumberFormat="1" applyFont="1" applyBorder="1" applyAlignment="1">
      <alignment horizontal="center" vertical="center"/>
    </xf>
    <xf numFmtId="166" fontId="2" fillId="0" borderId="1" xfId="1" applyNumberFormat="1" applyFont="1" applyFill="1" applyBorder="1" applyAlignment="1">
      <alignment horizontal="center" vertical="center"/>
    </xf>
    <xf numFmtId="166" fontId="2" fillId="9" borderId="1" xfId="1" applyNumberFormat="1" applyFont="1" applyFill="1" applyBorder="1" applyAlignment="1">
      <alignment horizontal="center" vertical="center"/>
    </xf>
    <xf numFmtId="169" fontId="0" fillId="0" borderId="1" xfId="1" applyNumberFormat="1" applyFont="1" applyFill="1" applyBorder="1"/>
    <xf numFmtId="166" fontId="2" fillId="13" borderId="1" xfId="1" applyNumberFormat="1" applyFont="1" applyFill="1" applyBorder="1" applyAlignment="1">
      <alignment horizontal="center" vertical="center"/>
    </xf>
    <xf numFmtId="170" fontId="2" fillId="13" borderId="1" xfId="1" applyNumberFormat="1" applyFont="1" applyFill="1" applyBorder="1" applyAlignment="1">
      <alignment horizontal="center" vertical="center"/>
    </xf>
    <xf numFmtId="3" fontId="0" fillId="0" borderId="0" xfId="0" applyNumberFormat="1" applyBorder="1"/>
    <xf numFmtId="169" fontId="0" fillId="0" borderId="0" xfId="1" applyNumberFormat="1" applyFont="1" applyBorder="1"/>
    <xf numFmtId="0" fontId="2" fillId="8" borderId="1" xfId="0" applyFont="1" applyFill="1" applyBorder="1" applyAlignment="1">
      <alignment horizontal="center" vertical="center"/>
    </xf>
    <xf numFmtId="49" fontId="3" fillId="0" borderId="1" xfId="0" applyNumberFormat="1" applyFont="1" applyFill="1" applyBorder="1" applyAlignment="1">
      <alignment horizontal="center"/>
    </xf>
    <xf numFmtId="3" fontId="26" fillId="0" borderId="1" xfId="0" applyNumberFormat="1" applyFont="1" applyBorder="1"/>
    <xf numFmtId="9" fontId="0" fillId="0" borderId="0" xfId="6" applyNumberFormat="1" applyFont="1"/>
    <xf numFmtId="9" fontId="43" fillId="0" borderId="0" xfId="6" applyFont="1" applyFill="1" applyBorder="1"/>
    <xf numFmtId="0" fontId="42" fillId="0" borderId="9" xfId="0" applyFont="1" applyFill="1" applyBorder="1"/>
    <xf numFmtId="49" fontId="3" fillId="0" borderId="0" xfId="0" applyNumberFormat="1" applyFont="1" applyBorder="1" applyAlignment="1">
      <alignment horizontal="center"/>
    </xf>
    <xf numFmtId="3" fontId="5" fillId="0" borderId="0" xfId="0" applyNumberFormat="1" applyFont="1" applyBorder="1"/>
    <xf numFmtId="3" fontId="7" fillId="0" borderId="1" xfId="0" applyNumberFormat="1" applyFont="1" applyBorder="1"/>
    <xf numFmtId="43" fontId="0" fillId="0" borderId="0" xfId="0" applyNumberFormat="1"/>
    <xf numFmtId="0" fontId="0" fillId="14" borderId="1" xfId="0" applyFill="1" applyBorder="1"/>
    <xf numFmtId="0" fontId="3" fillId="0" borderId="1" xfId="0" applyFont="1" applyBorder="1"/>
    <xf numFmtId="3" fontId="3" fillId="0" borderId="1" xfId="0" applyNumberFormat="1" applyFont="1" applyFill="1" applyBorder="1"/>
    <xf numFmtId="4" fontId="3" fillId="0" borderId="1" xfId="0" applyNumberFormat="1" applyFont="1" applyFill="1" applyBorder="1"/>
    <xf numFmtId="0" fontId="3" fillId="0" borderId="1" xfId="0" applyFont="1" applyFill="1" applyBorder="1"/>
    <xf numFmtId="2" fontId="5" fillId="0" borderId="1" xfId="0" applyNumberFormat="1" applyFont="1" applyBorder="1"/>
    <xf numFmtId="0" fontId="16" fillId="0" borderId="10" xfId="0" applyFont="1" applyBorder="1"/>
    <xf numFmtId="4" fontId="3" fillId="0" borderId="1" xfId="0" applyNumberFormat="1" applyFont="1" applyBorder="1"/>
    <xf numFmtId="169" fontId="0" fillId="0" borderId="0" xfId="0" applyNumberFormat="1"/>
    <xf numFmtId="0" fontId="16" fillId="0" borderId="0" xfId="0" applyFont="1" applyFill="1" applyBorder="1" applyAlignment="1">
      <alignment horizontal="right"/>
    </xf>
    <xf numFmtId="43" fontId="2" fillId="0" borderId="0" xfId="1" applyFont="1" applyFill="1" applyBorder="1"/>
    <xf numFmtId="3" fontId="34" fillId="0" borderId="1" xfId="0" applyNumberFormat="1" applyFont="1" applyBorder="1" applyAlignment="1">
      <alignment horizontal="right" vertical="center"/>
    </xf>
    <xf numFmtId="0" fontId="16" fillId="0" borderId="1" xfId="0" applyFont="1" applyBorder="1" applyAlignment="1">
      <alignment vertical="center"/>
    </xf>
    <xf numFmtId="1" fontId="0" fillId="0" borderId="0" xfId="0" applyNumberFormat="1"/>
    <xf numFmtId="3" fontId="5" fillId="14" borderId="1" xfId="0" applyNumberFormat="1" applyFont="1" applyFill="1" applyBorder="1"/>
    <xf numFmtId="169" fontId="5" fillId="14" borderId="1" xfId="1" applyNumberFormat="1" applyFont="1" applyFill="1" applyBorder="1"/>
    <xf numFmtId="3" fontId="5" fillId="9" borderId="1" xfId="0" applyNumberFormat="1" applyFont="1" applyFill="1" applyBorder="1"/>
    <xf numFmtId="49" fontId="16" fillId="0" borderId="1" xfId="0" applyNumberFormat="1" applyFont="1" applyBorder="1"/>
    <xf numFmtId="4" fontId="0" fillId="0" borderId="1" xfId="0" applyNumberFormat="1" applyBorder="1"/>
    <xf numFmtId="4" fontId="3" fillId="0" borderId="1" xfId="0" applyNumberFormat="1" applyFont="1" applyFill="1" applyBorder="1" applyAlignment="1" applyProtection="1">
      <alignment horizontal="right"/>
      <protection locked="0"/>
    </xf>
    <xf numFmtId="4" fontId="15" fillId="0" borderId="1" xfId="0" applyNumberFormat="1" applyFont="1" applyFill="1" applyBorder="1" applyAlignment="1">
      <alignment horizontal="right"/>
    </xf>
    <xf numFmtId="49" fontId="15" fillId="0" borderId="1" xfId="0" applyNumberFormat="1" applyFont="1" applyFill="1" applyBorder="1" applyAlignment="1">
      <alignment horizontal="left"/>
    </xf>
    <xf numFmtId="49" fontId="15" fillId="0" borderId="1" xfId="0" applyNumberFormat="1" applyFont="1" applyFill="1" applyBorder="1" applyAlignment="1">
      <alignment horizontal="right"/>
    </xf>
    <xf numFmtId="4" fontId="3" fillId="0" borderId="11" xfId="0" applyNumberFormat="1" applyFont="1" applyFill="1" applyBorder="1" applyAlignment="1">
      <alignment horizontal="right"/>
    </xf>
    <xf numFmtId="49" fontId="15" fillId="0" borderId="11" xfId="0" applyNumberFormat="1" applyFont="1" applyFill="1" applyBorder="1" applyAlignment="1">
      <alignment horizontal="right"/>
    </xf>
    <xf numFmtId="49" fontId="3" fillId="0" borderId="11" xfId="0" applyNumberFormat="1" applyFont="1" applyFill="1" applyBorder="1" applyAlignment="1">
      <alignment horizontal="right"/>
    </xf>
    <xf numFmtId="0" fontId="6" fillId="0" borderId="11" xfId="0" applyFont="1" applyFill="1" applyBorder="1"/>
    <xf numFmtId="0" fontId="17" fillId="0" borderId="1" xfId="0" applyFont="1" applyFill="1" applyBorder="1"/>
    <xf numFmtId="49" fontId="3" fillId="8" borderId="1" xfId="0" applyNumberFormat="1" applyFont="1" applyFill="1" applyBorder="1" applyAlignment="1">
      <alignment horizontal="right"/>
    </xf>
    <xf numFmtId="0" fontId="3" fillId="8" borderId="1" xfId="0" applyFont="1" applyFill="1" applyBorder="1"/>
    <xf numFmtId="0" fontId="11" fillId="8" borderId="1" xfId="0" applyFont="1" applyFill="1" applyBorder="1"/>
    <xf numFmtId="170" fontId="0" fillId="0" borderId="1" xfId="4" applyNumberFormat="1" applyFont="1" applyBorder="1"/>
    <xf numFmtId="9" fontId="0" fillId="0" borderId="1" xfId="8" applyFont="1" applyBorder="1" applyAlignment="1">
      <alignment horizontal="center" vertical="center"/>
    </xf>
    <xf numFmtId="170" fontId="0" fillId="0" borderId="1" xfId="3" applyNumberFormat="1" applyFont="1" applyBorder="1"/>
    <xf numFmtId="166" fontId="0" fillId="0" borderId="0" xfId="4" applyNumberFormat="1" applyFont="1" applyAlignment="1">
      <alignment horizontal="center" vertical="center"/>
    </xf>
    <xf numFmtId="4" fontId="44" fillId="13" borderId="1" xfId="0" applyNumberFormat="1" applyFont="1" applyFill="1" applyBorder="1"/>
    <xf numFmtId="170" fontId="44" fillId="13" borderId="1" xfId="4" applyNumberFormat="1" applyFont="1" applyFill="1" applyBorder="1"/>
    <xf numFmtId="170" fontId="44" fillId="13" borderId="1" xfId="3" applyNumberFormat="1" applyFont="1" applyFill="1" applyBorder="1"/>
    <xf numFmtId="4" fontId="44" fillId="9" borderId="1" xfId="0" applyNumberFormat="1" applyFont="1" applyFill="1" applyBorder="1"/>
    <xf numFmtId="170" fontId="44" fillId="9" borderId="1" xfId="4" applyNumberFormat="1" applyFont="1" applyFill="1" applyBorder="1"/>
    <xf numFmtId="4" fontId="44" fillId="15" borderId="1" xfId="0" applyNumberFormat="1" applyFont="1" applyFill="1" applyBorder="1"/>
    <xf numFmtId="170" fontId="0" fillId="0" borderId="0" xfId="4" applyNumberFormat="1" applyFont="1" applyBorder="1"/>
    <xf numFmtId="170" fontId="0" fillId="0" borderId="0" xfId="3" applyNumberFormat="1" applyFont="1" applyBorder="1"/>
    <xf numFmtId="169" fontId="5" fillId="9" borderId="9" xfId="1" applyNumberFormat="1" applyFont="1" applyFill="1" applyBorder="1"/>
    <xf numFmtId="167" fontId="5" fillId="0" borderId="1" xfId="0" applyNumberFormat="1" applyFont="1" applyFill="1" applyBorder="1"/>
    <xf numFmtId="170" fontId="44" fillId="15" borderId="1" xfId="3" applyNumberFormat="1" applyFont="1" applyFill="1" applyBorder="1"/>
    <xf numFmtId="170" fontId="44" fillId="9" borderId="1" xfId="3" applyNumberFormat="1" applyFont="1" applyFill="1" applyBorder="1"/>
    <xf numFmtId="9" fontId="44" fillId="15" borderId="1" xfId="6" applyFont="1" applyFill="1" applyBorder="1" applyAlignment="1">
      <alignment horizontal="center" vertical="center"/>
    </xf>
    <xf numFmtId="9" fontId="44" fillId="9" borderId="1" xfId="6" applyFont="1" applyFill="1" applyBorder="1" applyAlignment="1">
      <alignment horizontal="center" vertical="center"/>
    </xf>
    <xf numFmtId="9" fontId="44" fillId="13" borderId="1" xfId="6" applyFont="1" applyFill="1" applyBorder="1" applyAlignment="1">
      <alignment horizontal="center" vertical="center"/>
    </xf>
    <xf numFmtId="49" fontId="44" fillId="15" borderId="1" xfId="0" applyNumberFormat="1" applyFont="1" applyFill="1" applyBorder="1" applyAlignment="1"/>
    <xf numFmtId="49" fontId="44" fillId="9" borderId="1" xfId="0" applyNumberFormat="1" applyFont="1" applyFill="1" applyBorder="1" applyAlignment="1"/>
    <xf numFmtId="49" fontId="44" fillId="13" borderId="1" xfId="0" applyNumberFormat="1" applyFont="1" applyFill="1" applyBorder="1" applyAlignment="1"/>
    <xf numFmtId="49" fontId="16" fillId="0" borderId="0" xfId="0" applyNumberFormat="1" applyFont="1" applyBorder="1"/>
    <xf numFmtId="9" fontId="0" fillId="0" borderId="0" xfId="8" applyFont="1" applyBorder="1" applyAlignment="1">
      <alignment horizontal="center" vertical="center"/>
    </xf>
    <xf numFmtId="170" fontId="0" fillId="0" borderId="0" xfId="0" applyNumberFormat="1" applyBorder="1"/>
    <xf numFmtId="0" fontId="2" fillId="0" borderId="0" xfId="0" applyFont="1" applyBorder="1" applyAlignment="1">
      <alignment horizontal="center" vertical="center"/>
    </xf>
    <xf numFmtId="0" fontId="2" fillId="0" borderId="0" xfId="0" applyFont="1" applyFill="1" applyBorder="1"/>
    <xf numFmtId="49" fontId="3" fillId="0" borderId="0" xfId="0" applyNumberFormat="1" applyFont="1" applyFill="1" applyBorder="1" applyAlignment="1">
      <alignment horizontal="center"/>
    </xf>
    <xf numFmtId="43" fontId="0" fillId="0" borderId="0" xfId="4" applyFont="1" applyFill="1" applyBorder="1"/>
    <xf numFmtId="43" fontId="16" fillId="0" borderId="0" xfId="4" applyFont="1" applyFill="1" applyBorder="1"/>
    <xf numFmtId="2" fontId="0" fillId="0" borderId="0" xfId="0" applyNumberFormat="1" applyFill="1" applyBorder="1"/>
    <xf numFmtId="43" fontId="0" fillId="0" borderId="0" xfId="0" applyNumberFormat="1" applyFill="1" applyBorder="1"/>
    <xf numFmtId="0" fontId="16" fillId="0" borderId="0" xfId="0" applyFont="1" applyBorder="1" applyAlignment="1">
      <alignment vertical="center"/>
    </xf>
    <xf numFmtId="0" fontId="16" fillId="0" borderId="0" xfId="0" applyFont="1" applyFill="1" applyBorder="1" applyProtection="1"/>
    <xf numFmtId="0" fontId="16" fillId="0" borderId="0" xfId="0" applyFont="1" applyFill="1" applyBorder="1" applyAlignment="1">
      <alignment horizontal="center"/>
    </xf>
    <xf numFmtId="0" fontId="2" fillId="0" borderId="0" xfId="0" applyFont="1" applyFill="1" applyBorder="1" applyAlignment="1">
      <alignment horizontal="center"/>
    </xf>
    <xf numFmtId="0" fontId="2" fillId="0" borderId="0" xfId="0" applyFont="1" applyBorder="1" applyAlignment="1">
      <alignment horizontal="center"/>
    </xf>
    <xf numFmtId="166" fontId="2" fillId="0" borderId="0" xfId="1" applyNumberFormat="1" applyFont="1" applyBorder="1" applyAlignment="1">
      <alignment horizontal="center" vertical="center"/>
    </xf>
    <xf numFmtId="2" fontId="0" fillId="0" borderId="0" xfId="1" applyNumberFormat="1" applyFont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1" xfId="0" applyFill="1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3" fontId="16" fillId="0" borderId="1" xfId="0" applyNumberFormat="1" applyFont="1" applyFill="1" applyBorder="1"/>
    <xf numFmtId="1" fontId="0" fillId="0" borderId="1" xfId="0" applyNumberFormat="1" applyFill="1" applyBorder="1"/>
    <xf numFmtId="0" fontId="45" fillId="0" borderId="12" xfId="0" applyFont="1" applyBorder="1" applyAlignment="1">
      <alignment horizontal="center" wrapText="1" readingOrder="1"/>
    </xf>
    <xf numFmtId="0" fontId="46" fillId="0" borderId="12" xfId="0" applyFont="1" applyBorder="1" applyAlignment="1">
      <alignment horizontal="center" wrapText="1" readingOrder="1"/>
    </xf>
    <xf numFmtId="0" fontId="46" fillId="13" borderId="12" xfId="0" applyFont="1" applyFill="1" applyBorder="1" applyAlignment="1">
      <alignment horizontal="center" vertical="center" wrapText="1" readingOrder="1"/>
    </xf>
    <xf numFmtId="0" fontId="46" fillId="9" borderId="12" xfId="0" applyFont="1" applyFill="1" applyBorder="1" applyAlignment="1">
      <alignment horizontal="center" vertical="center" wrapText="1" readingOrder="1"/>
    </xf>
    <xf numFmtId="0" fontId="46" fillId="15" borderId="12" xfId="0" applyFont="1" applyFill="1" applyBorder="1" applyAlignment="1">
      <alignment horizontal="center" vertical="center" wrapText="1" readingOrder="1"/>
    </xf>
    <xf numFmtId="0" fontId="47" fillId="0" borderId="12" xfId="0" applyFont="1" applyFill="1" applyBorder="1" applyAlignment="1">
      <alignment horizontal="center" vertical="center" wrapText="1" readingOrder="1"/>
    </xf>
    <xf numFmtId="0" fontId="47" fillId="0" borderId="12" xfId="0" applyFont="1" applyBorder="1" applyAlignment="1">
      <alignment horizontal="center" vertical="center" wrapText="1" readingOrder="1"/>
    </xf>
    <xf numFmtId="43" fontId="2" fillId="5" borderId="1" xfId="1" applyNumberFormat="1" applyFont="1" applyFill="1" applyBorder="1"/>
    <xf numFmtId="169" fontId="16" fillId="0" borderId="1" xfId="1" applyNumberFormat="1" applyFont="1" applyFill="1" applyBorder="1"/>
    <xf numFmtId="169" fontId="0" fillId="0" borderId="1" xfId="1" applyNumberFormat="1" applyFont="1" applyBorder="1"/>
    <xf numFmtId="43" fontId="5" fillId="0" borderId="1" xfId="1" applyFont="1" applyFill="1" applyBorder="1"/>
    <xf numFmtId="4" fontId="5" fillId="2" borderId="0" xfId="0" applyNumberFormat="1" applyFont="1" applyFill="1" applyBorder="1"/>
    <xf numFmtId="0" fontId="16" fillId="16" borderId="1" xfId="0" applyFont="1" applyFill="1" applyBorder="1" applyAlignment="1">
      <alignment horizontal="center"/>
    </xf>
    <xf numFmtId="0" fontId="16" fillId="0" borderId="0" xfId="0" applyFont="1" applyAlignment="1">
      <alignment horizontal="center"/>
    </xf>
    <xf numFmtId="0" fontId="0" fillId="17" borderId="1" xfId="0" applyFill="1" applyBorder="1"/>
    <xf numFmtId="0" fontId="0" fillId="17" borderId="1" xfId="0" applyFill="1" applyBorder="1" applyAlignment="1">
      <alignment horizontal="center"/>
    </xf>
    <xf numFmtId="168" fontId="5" fillId="0" borderId="1" xfId="0" applyNumberFormat="1" applyFont="1" applyBorder="1"/>
    <xf numFmtId="165" fontId="5" fillId="0" borderId="1" xfId="0" applyNumberFormat="1" applyFont="1" applyFill="1" applyBorder="1"/>
    <xf numFmtId="0" fontId="2" fillId="8" borderId="9" xfId="0" applyFont="1" applyFill="1" applyBorder="1" applyAlignment="1">
      <alignment horizontal="center"/>
    </xf>
    <xf numFmtId="168" fontId="5" fillId="0" borderId="1" xfId="0" applyNumberFormat="1" applyFont="1" applyFill="1" applyBorder="1"/>
    <xf numFmtId="43" fontId="5" fillId="0" borderId="1" xfId="1" applyFont="1" applyBorder="1"/>
    <xf numFmtId="170" fontId="5" fillId="0" borderId="1" xfId="1" applyNumberFormat="1" applyFont="1" applyBorder="1"/>
    <xf numFmtId="3" fontId="9" fillId="0" borderId="0" xfId="0" applyNumberFormat="1" applyFont="1" applyBorder="1"/>
    <xf numFmtId="3" fontId="34" fillId="0" borderId="0" xfId="0" applyNumberFormat="1" applyFont="1" applyBorder="1" applyAlignment="1">
      <alignment horizontal="right" vertical="center"/>
    </xf>
    <xf numFmtId="0" fontId="2" fillId="0" borderId="0" xfId="0" applyFont="1" applyBorder="1" applyAlignment="1">
      <alignment horizontal="right"/>
    </xf>
    <xf numFmtId="49" fontId="44" fillId="6" borderId="1" xfId="0" applyNumberFormat="1" applyFont="1" applyFill="1" applyBorder="1" applyAlignment="1"/>
    <xf numFmtId="4" fontId="44" fillId="6" borderId="1" xfId="0" applyNumberFormat="1" applyFont="1" applyFill="1" applyBorder="1"/>
    <xf numFmtId="170" fontId="44" fillId="6" borderId="1" xfId="3" applyNumberFormat="1" applyFont="1" applyFill="1" applyBorder="1"/>
    <xf numFmtId="9" fontId="44" fillId="6" borderId="1" xfId="6" applyFont="1" applyFill="1" applyBorder="1" applyAlignment="1">
      <alignment horizontal="center" vertical="center"/>
    </xf>
    <xf numFmtId="49" fontId="44" fillId="13" borderId="11" xfId="0" applyNumberFormat="1" applyFont="1" applyFill="1" applyBorder="1" applyAlignment="1"/>
    <xf numFmtId="4" fontId="44" fillId="13" borderId="11" xfId="0" applyNumberFormat="1" applyFont="1" applyFill="1" applyBorder="1"/>
    <xf numFmtId="170" fontId="44" fillId="13" borderId="11" xfId="4" applyNumberFormat="1" applyFont="1" applyFill="1" applyBorder="1"/>
    <xf numFmtId="9" fontId="44" fillId="13" borderId="11" xfId="6" applyFont="1" applyFill="1" applyBorder="1" applyAlignment="1">
      <alignment horizontal="center" vertical="center"/>
    </xf>
    <xf numFmtId="168" fontId="44" fillId="6" borderId="1" xfId="0" applyNumberFormat="1" applyFont="1" applyFill="1" applyBorder="1" applyAlignment="1">
      <alignment horizontal="center"/>
    </xf>
    <xf numFmtId="168" fontId="44" fillId="6" borderId="1" xfId="0" applyNumberFormat="1" applyFont="1" applyFill="1" applyBorder="1" applyAlignment="1">
      <alignment horizontal="center" vertical="center"/>
    </xf>
    <xf numFmtId="166" fontId="44" fillId="6" borderId="1" xfId="4" applyNumberFormat="1" applyFont="1" applyFill="1" applyBorder="1" applyAlignment="1">
      <alignment horizontal="center" vertical="center"/>
    </xf>
    <xf numFmtId="166" fontId="44" fillId="6" borderId="1" xfId="3" applyNumberFormat="1" applyFont="1" applyFill="1" applyBorder="1" applyAlignment="1">
      <alignment horizontal="center" vertical="center"/>
    </xf>
    <xf numFmtId="2" fontId="44" fillId="6" borderId="1" xfId="1" applyNumberFormat="1" applyFont="1" applyFill="1" applyBorder="1" applyAlignment="1">
      <alignment horizontal="center" vertical="center"/>
    </xf>
    <xf numFmtId="166" fontId="44" fillId="6" borderId="1" xfId="1" applyNumberFormat="1" applyFont="1" applyFill="1" applyBorder="1" applyAlignment="1">
      <alignment horizontal="center" vertical="center"/>
    </xf>
    <xf numFmtId="9" fontId="0" fillId="0" borderId="0" xfId="6" applyFont="1"/>
    <xf numFmtId="4" fontId="44" fillId="6" borderId="1" xfId="0" applyNumberFormat="1" applyFont="1" applyFill="1" applyBorder="1" applyAlignment="1">
      <alignment horizontal="center" vertical="center"/>
    </xf>
    <xf numFmtId="49" fontId="44" fillId="6" borderId="1" xfId="0" applyNumberFormat="1" applyFont="1" applyFill="1" applyBorder="1" applyAlignment="1">
      <alignment horizontal="left" vertical="center"/>
    </xf>
    <xf numFmtId="0" fontId="0" fillId="13" borderId="0" xfId="0" applyFill="1"/>
    <xf numFmtId="0" fontId="16" fillId="13" borderId="0" xfId="0" applyFont="1" applyFill="1"/>
    <xf numFmtId="171" fontId="5" fillId="0" borderId="1" xfId="1" applyNumberFormat="1" applyFont="1" applyFill="1" applyBorder="1"/>
    <xf numFmtId="172" fontId="5" fillId="0" borderId="1" xfId="0" applyNumberFormat="1" applyFont="1" applyFill="1" applyBorder="1"/>
    <xf numFmtId="49" fontId="3" fillId="9" borderId="1" xfId="0" applyNumberFormat="1" applyFont="1" applyFill="1" applyBorder="1" applyAlignment="1">
      <alignment horizontal="right"/>
    </xf>
    <xf numFmtId="0" fontId="49" fillId="0" borderId="0" xfId="0" applyFont="1" applyAlignment="1">
      <alignment horizontal="center"/>
    </xf>
    <xf numFmtId="0" fontId="0" fillId="0" borderId="0" xfId="0" applyAlignment="1">
      <alignment wrapText="1"/>
    </xf>
    <xf numFmtId="0" fontId="0" fillId="22" borderId="0" xfId="0" applyFill="1"/>
    <xf numFmtId="0" fontId="0" fillId="5" borderId="0" xfId="0" applyFill="1"/>
    <xf numFmtId="0" fontId="0" fillId="15" borderId="0" xfId="0" applyFill="1"/>
    <xf numFmtId="0" fontId="0" fillId="10" borderId="0" xfId="0" applyFill="1"/>
    <xf numFmtId="0" fontId="16" fillId="23" borderId="11" xfId="0" applyFont="1" applyFill="1" applyBorder="1"/>
    <xf numFmtId="0" fontId="16" fillId="23" borderId="11" xfId="0" applyFont="1" applyFill="1" applyBorder="1" applyAlignment="1">
      <alignment wrapText="1"/>
    </xf>
    <xf numFmtId="0" fontId="0" fillId="23" borderId="11" xfId="0" applyFill="1" applyBorder="1"/>
    <xf numFmtId="0" fontId="0" fillId="23" borderId="11" xfId="0" applyFill="1" applyBorder="1" applyAlignment="1">
      <alignment wrapText="1"/>
    </xf>
    <xf numFmtId="0" fontId="16" fillId="22" borderId="0" xfId="0" applyFont="1" applyFill="1"/>
    <xf numFmtId="0" fontId="3" fillId="8" borderId="1" xfId="0" applyFont="1" applyFill="1" applyBorder="1" applyAlignment="1">
      <alignment horizontal="center" vertical="center"/>
    </xf>
    <xf numFmtId="0" fontId="11" fillId="8" borderId="1" xfId="0" applyFont="1" applyFill="1" applyBorder="1" applyAlignment="1">
      <alignment horizontal="center" vertical="center"/>
    </xf>
    <xf numFmtId="0" fontId="0" fillId="21" borderId="11" xfId="0" applyFill="1" applyBorder="1"/>
    <xf numFmtId="0" fontId="0" fillId="21" borderId="11" xfId="0" applyFill="1" applyBorder="1" applyAlignment="1">
      <alignment wrapText="1"/>
    </xf>
    <xf numFmtId="0" fontId="5" fillId="24" borderId="1" xfId="0" applyFont="1" applyFill="1" applyBorder="1"/>
    <xf numFmtId="169" fontId="42" fillId="24" borderId="1" xfId="1" applyNumberFormat="1" applyFont="1" applyFill="1" applyBorder="1"/>
    <xf numFmtId="171" fontId="42" fillId="24" borderId="1" xfId="1" applyNumberFormat="1" applyFont="1" applyFill="1" applyBorder="1"/>
    <xf numFmtId="0" fontId="42" fillId="24" borderId="1" xfId="0" applyFont="1" applyFill="1" applyBorder="1"/>
    <xf numFmtId="0" fontId="0" fillId="24" borderId="0" xfId="0" applyFill="1"/>
    <xf numFmtId="174" fontId="5" fillId="24" borderId="1" xfId="0" applyNumberFormat="1" applyFont="1" applyFill="1" applyBorder="1"/>
    <xf numFmtId="173" fontId="5" fillId="0" borderId="1" xfId="1" applyNumberFormat="1" applyFont="1" applyFill="1" applyBorder="1"/>
    <xf numFmtId="169" fontId="5" fillId="24" borderId="1" xfId="1" applyNumberFormat="1" applyFont="1" applyFill="1" applyBorder="1"/>
    <xf numFmtId="165" fontId="5" fillId="24" borderId="1" xfId="0" applyNumberFormat="1" applyFont="1" applyFill="1" applyBorder="1"/>
    <xf numFmtId="3" fontId="5" fillId="24" borderId="1" xfId="0" applyNumberFormat="1" applyFont="1" applyFill="1" applyBorder="1"/>
    <xf numFmtId="4" fontId="5" fillId="24" borderId="1" xfId="0" applyNumberFormat="1" applyFont="1" applyFill="1" applyBorder="1"/>
    <xf numFmtId="3" fontId="17" fillId="24" borderId="1" xfId="0" applyNumberFormat="1" applyFont="1" applyFill="1" applyBorder="1"/>
    <xf numFmtId="164" fontId="5" fillId="24" borderId="1" xfId="0" applyNumberFormat="1" applyFont="1" applyFill="1" applyBorder="1"/>
    <xf numFmtId="0" fontId="17" fillId="24" borderId="1" xfId="0" applyNumberFormat="1" applyFont="1" applyFill="1" applyBorder="1"/>
    <xf numFmtId="0" fontId="48" fillId="18" borderId="1" xfId="0" applyFont="1" applyFill="1" applyBorder="1" applyAlignment="1">
      <alignment horizontal="center" vertical="center" wrapText="1"/>
    </xf>
    <xf numFmtId="0" fontId="48" fillId="18" borderId="8" xfId="0" applyFont="1" applyFill="1" applyBorder="1" applyAlignment="1">
      <alignment horizontal="center" vertical="center" wrapText="1"/>
    </xf>
    <xf numFmtId="0" fontId="48" fillId="18" borderId="9" xfId="0" applyFont="1" applyFill="1" applyBorder="1" applyAlignment="1">
      <alignment horizontal="center" vertical="center" wrapText="1"/>
    </xf>
    <xf numFmtId="0" fontId="48" fillId="18" borderId="11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17" fontId="49" fillId="20" borderId="1" xfId="0" applyNumberFormat="1" applyFont="1" applyFill="1" applyBorder="1" applyAlignment="1">
      <alignment horizontal="center"/>
    </xf>
    <xf numFmtId="0" fontId="49" fillId="20" borderId="1" xfId="0" applyFont="1" applyFill="1" applyBorder="1" applyAlignment="1">
      <alignment horizontal="center"/>
    </xf>
    <xf numFmtId="17" fontId="49" fillId="20" borderId="7" xfId="0" applyNumberFormat="1" applyFont="1" applyFill="1" applyBorder="1" applyAlignment="1">
      <alignment horizontal="center"/>
    </xf>
    <xf numFmtId="0" fontId="49" fillId="20" borderId="13" xfId="0" applyFont="1" applyFill="1" applyBorder="1" applyAlignment="1">
      <alignment horizontal="center"/>
    </xf>
    <xf numFmtId="0" fontId="49" fillId="20" borderId="14" xfId="0" applyFont="1" applyFill="1" applyBorder="1" applyAlignment="1">
      <alignment horizontal="center"/>
    </xf>
    <xf numFmtId="0" fontId="4" fillId="4" borderId="5" xfId="0" applyFont="1" applyFill="1" applyBorder="1" applyAlignment="1">
      <alignment horizontal="center" vertical="center"/>
    </xf>
    <xf numFmtId="0" fontId="4" fillId="4" borderId="6" xfId="0" applyFont="1" applyFill="1" applyBorder="1" applyAlignment="1">
      <alignment horizontal="center" vertical="center"/>
    </xf>
    <xf numFmtId="17" fontId="4" fillId="4" borderId="5" xfId="0" applyNumberFormat="1" applyFont="1" applyFill="1" applyBorder="1" applyAlignment="1">
      <alignment horizontal="center" vertical="center"/>
    </xf>
    <xf numFmtId="17" fontId="4" fillId="4" borderId="6" xfId="0" applyNumberFormat="1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33" fillId="7" borderId="1" xfId="0" applyFont="1" applyFill="1" applyBorder="1" applyAlignment="1">
      <alignment horizontal="center"/>
    </xf>
    <xf numFmtId="0" fontId="2" fillId="10" borderId="1" xfId="0" applyFont="1" applyFill="1" applyBorder="1" applyAlignment="1">
      <alignment horizontal="center"/>
    </xf>
    <xf numFmtId="0" fontId="16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2" fillId="19" borderId="1" xfId="0" applyFont="1" applyFill="1" applyBorder="1" applyAlignment="1">
      <alignment horizontal="center"/>
    </xf>
  </cellXfs>
  <cellStyles count="9">
    <cellStyle name="Millares" xfId="1" builtinId="3"/>
    <cellStyle name="Millares 2" xfId="2" xr:uid="{00000000-0005-0000-0000-000001000000}"/>
    <cellStyle name="Millares 2 2" xfId="3" xr:uid="{00000000-0005-0000-0000-000002000000}"/>
    <cellStyle name="Millares 3" xfId="4" xr:uid="{00000000-0005-0000-0000-000003000000}"/>
    <cellStyle name="Normal" xfId="0" builtinId="0"/>
    <cellStyle name="Normal 2" xfId="5" xr:uid="{00000000-0005-0000-0000-000005000000}"/>
    <cellStyle name="Porcentaje" xfId="6" builtinId="5"/>
    <cellStyle name="Porcentaje 2" xfId="7" xr:uid="{00000000-0005-0000-0000-000007000000}"/>
    <cellStyle name="Porcentaje 3" xfId="8" xr:uid="{00000000-0005-0000-0000-000008000000}"/>
  </cellStyles>
  <dxfs count="98"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8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ill>
        <patternFill patternType="solid">
          <fgColor indexed="64"/>
          <bgColor rgb="FFFF0000"/>
        </patternFill>
      </fill>
    </dxf>
    <dxf>
      <fill>
        <patternFill patternType="solid">
          <fgColor indexed="64"/>
          <bgColor rgb="FFFF0000"/>
        </patternFill>
      </fill>
    </dxf>
    <dxf>
      <fill>
        <patternFill patternType="solid">
          <fgColor indexed="64"/>
          <bgColor rgb="FFFF0000"/>
        </patternFill>
      </fill>
    </dxf>
    <dxf>
      <fill>
        <patternFill patternType="solid">
          <fgColor indexed="64"/>
          <bgColor rgb="FFFF0000"/>
        </patternFill>
      </fill>
    </dxf>
    <dxf>
      <fill>
        <patternFill patternType="solid">
          <fgColor indexed="64"/>
          <bgColor rgb="FFFF0000"/>
        </patternFill>
      </fill>
    </dxf>
    <dxf>
      <fill>
        <patternFill patternType="solid">
          <fgColor indexed="64"/>
          <bgColor rgb="FFFF0000"/>
        </patternFill>
      </fill>
    </dxf>
    <dxf>
      <fill>
        <patternFill patternType="solid">
          <fgColor indexed="64"/>
          <bgColor rgb="FFFF0000"/>
        </patternFill>
      </fill>
    </dxf>
    <dxf>
      <fill>
        <patternFill patternType="solid">
          <fgColor indexed="64"/>
          <bgColor rgb="FFFF0000"/>
        </patternFill>
      </fill>
    </dxf>
    <dxf>
      <fill>
        <patternFill patternType="solid">
          <fgColor indexed="64"/>
          <bgColor rgb="FFFF0000"/>
        </patternFill>
      </fill>
    </dxf>
    <dxf>
      <border outline="0">
        <top style="thin">
          <color indexed="64"/>
        </top>
      </border>
    </dxf>
    <dxf>
      <fill>
        <patternFill patternType="solid">
          <fgColor indexed="64"/>
          <bgColor rgb="FFFF0000"/>
        </patternFill>
      </fill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ill>
        <patternFill patternType="solid">
          <fgColor indexed="64"/>
          <bgColor rgb="FF00B0F0"/>
        </patternFill>
      </fill>
    </dxf>
    <dxf>
      <fill>
        <patternFill patternType="solid">
          <fgColor indexed="64"/>
          <bgColor rgb="FF00B0F0"/>
        </patternFill>
      </fill>
    </dxf>
    <dxf>
      <fill>
        <patternFill patternType="solid">
          <fgColor indexed="64"/>
          <bgColor rgb="FF00B0F0"/>
        </patternFill>
      </fill>
    </dxf>
    <dxf>
      <fill>
        <patternFill patternType="solid">
          <fgColor indexed="64"/>
          <bgColor rgb="FF00B0F0"/>
        </patternFill>
      </fill>
    </dxf>
    <dxf>
      <fill>
        <patternFill patternType="solid">
          <fgColor indexed="64"/>
          <bgColor rgb="FF00B0F0"/>
        </patternFill>
      </fill>
    </dxf>
    <dxf>
      <fill>
        <patternFill patternType="solid">
          <fgColor indexed="64"/>
          <bgColor rgb="FF00B0F0"/>
        </patternFill>
      </fill>
    </dxf>
    <dxf>
      <fill>
        <patternFill patternType="solid">
          <fgColor indexed="64"/>
          <bgColor rgb="FF00B0F0"/>
        </patternFill>
      </fill>
    </dxf>
    <dxf>
      <fill>
        <patternFill patternType="solid">
          <fgColor indexed="64"/>
          <bgColor rgb="FF00B0F0"/>
        </patternFill>
      </fill>
    </dxf>
    <dxf>
      <fill>
        <patternFill patternType="solid">
          <fgColor indexed="64"/>
          <bgColor rgb="FF00B0F0"/>
        </patternFill>
      </fill>
    </dxf>
    <dxf>
      <border outline="0">
        <top style="thin">
          <color indexed="64"/>
        </top>
      </border>
    </dxf>
    <dxf>
      <fill>
        <patternFill patternType="solid">
          <fgColor indexed="64"/>
          <bgColor rgb="FF00B0F0"/>
        </patternFill>
      </fill>
    </dxf>
    <dxf>
      <border outline="0"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0"/>
        <color auto="1"/>
        <name val="Arial"/>
        <family val="2"/>
        <scheme val="none"/>
      </font>
      <fill>
        <patternFill patternType="solid">
          <fgColor indexed="64"/>
          <bgColor theme="4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9" defaultPivotStyle="PivotStyleLight16"/>
  <colors>
    <mruColors>
      <color rgb="FFFF6600"/>
      <color rgb="FF99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alcChain" Target="calcChain.xml"/><Relationship Id="rId8" Type="http://schemas.openxmlformats.org/officeDocument/2006/relationships/worksheet" Target="worksheets/sheet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6742984050070664"/>
          <c:y val="1.3561777000097209E-2"/>
          <c:w val="0.83220135944545393"/>
          <c:h val="0.7887318769666219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'Resumen de Demandas Bancos'!$P$35:$P$37</c:f>
              <c:strCache>
                <c:ptCount val="3"/>
                <c:pt idx="0">
                  <c:v>Capacidad (MW)</c:v>
                </c:pt>
              </c:strCache>
            </c:strRef>
          </c:tx>
          <c:spPr>
            <a:solidFill>
              <a:srgbClr val="4F81BD"/>
            </a:solidFill>
            <a:ln w="25400">
              <a:noFill/>
            </a:ln>
          </c:spPr>
          <c:invertIfNegative val="0"/>
          <c:cat>
            <c:strRef>
              <c:f>'Resumen de Demandas Bancos'!$N$38:$N$41</c:f>
              <c:strCache>
                <c:ptCount val="4"/>
                <c:pt idx="0">
                  <c:v>HPN-T1</c:v>
                </c:pt>
                <c:pt idx="1">
                  <c:v>CDA-T1</c:v>
                </c:pt>
                <c:pt idx="2">
                  <c:v>SBP-T1</c:v>
                </c:pt>
                <c:pt idx="3">
                  <c:v>SAU-T1</c:v>
                </c:pt>
              </c:strCache>
            </c:strRef>
          </c:cat>
          <c:val>
            <c:numRef>
              <c:f>'Resumen de Demandas Bancos'!$P$38:$P$41</c:f>
              <c:numCache>
                <c:formatCode>_-* #,##0.0_-;\-* #,##0.0_-;_-* "-"??_-;_-@_-</c:formatCode>
                <c:ptCount val="4"/>
                <c:pt idx="0">
                  <c:v>8.9</c:v>
                </c:pt>
                <c:pt idx="1">
                  <c:v>8.9</c:v>
                </c:pt>
                <c:pt idx="2">
                  <c:v>8.9</c:v>
                </c:pt>
                <c:pt idx="3">
                  <c:v>5.9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E3-4BBF-93C0-416A35A98428}"/>
            </c:ext>
          </c:extLst>
        </c:ser>
        <c:ser>
          <c:idx val="1"/>
          <c:order val="1"/>
          <c:tx>
            <c:strRef>
              <c:f>'Resumen de Demandas Bancos'!$Q$35:$Q$37</c:f>
              <c:strCache>
                <c:ptCount val="3"/>
                <c:pt idx="0">
                  <c:v>Demanda 2020 (MW)</c:v>
                </c:pt>
              </c:strCache>
            </c:strRef>
          </c:tx>
          <c:invertIfNegative val="0"/>
          <c:cat>
            <c:strRef>
              <c:f>'Resumen de Demandas Bancos'!$N$38:$N$41</c:f>
              <c:strCache>
                <c:ptCount val="4"/>
                <c:pt idx="0">
                  <c:v>HPN-T1</c:v>
                </c:pt>
                <c:pt idx="1">
                  <c:v>CDA-T1</c:v>
                </c:pt>
                <c:pt idx="2">
                  <c:v>SBP-T1</c:v>
                </c:pt>
                <c:pt idx="3">
                  <c:v>SAU-T1</c:v>
                </c:pt>
              </c:strCache>
            </c:strRef>
          </c:cat>
          <c:val>
            <c:numRef>
              <c:f>'Resumen de Demandas Bancos'!$Q$38:$Q$41</c:f>
              <c:numCache>
                <c:formatCode>_-* #,##0.0_-;\-* #,##0.0_-;_-* "-"??_-;_-@_-</c:formatCode>
                <c:ptCount val="4"/>
                <c:pt idx="0">
                  <c:v>8.3000000000000007</c:v>
                </c:pt>
                <c:pt idx="1">
                  <c:v>6.9</c:v>
                </c:pt>
                <c:pt idx="2">
                  <c:v>3.6</c:v>
                </c:pt>
                <c:pt idx="3">
                  <c:v>1.9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BE3-4BBF-93C0-416A35A98428}"/>
            </c:ext>
          </c:extLst>
        </c:ser>
        <c:ser>
          <c:idx val="3"/>
          <c:order val="2"/>
          <c:tx>
            <c:strRef>
              <c:f>'Resumen de Demandas Bancos'!$R$35:$R$37</c:f>
              <c:strCache>
                <c:ptCount val="3"/>
                <c:pt idx="0">
                  <c:v>Demanda 2021 (MW)</c:v>
                </c:pt>
              </c:strCache>
            </c:strRef>
          </c:tx>
          <c:invertIfNegative val="0"/>
          <c:cat>
            <c:strRef>
              <c:f>'Resumen de Demandas Bancos'!$N$38:$N$41</c:f>
              <c:strCache>
                <c:ptCount val="4"/>
                <c:pt idx="0">
                  <c:v>HPN-T1</c:v>
                </c:pt>
                <c:pt idx="1">
                  <c:v>CDA-T1</c:v>
                </c:pt>
                <c:pt idx="2">
                  <c:v>SBP-T1</c:v>
                </c:pt>
                <c:pt idx="3">
                  <c:v>SAU-T1</c:v>
                </c:pt>
              </c:strCache>
            </c:strRef>
          </c:cat>
          <c:val>
            <c:numRef>
              <c:f>'Resumen de Demandas Bancos'!$R$38:$R$41</c:f>
              <c:numCache>
                <c:formatCode>_-* #,##0.0_-;\-* #,##0.0_-;_-* "-"??_-;_-@_-</c:formatCode>
                <c:ptCount val="4"/>
                <c:pt idx="0">
                  <c:v>8.3000000000000007</c:v>
                </c:pt>
                <c:pt idx="1">
                  <c:v>7.8</c:v>
                </c:pt>
                <c:pt idx="2">
                  <c:v>3.6</c:v>
                </c:pt>
                <c:pt idx="3">
                  <c:v>1.9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BE3-4BBF-93C0-416A35A984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74350383"/>
        <c:axId val="1"/>
      </c:barChart>
      <c:lineChart>
        <c:grouping val="standard"/>
        <c:varyColors val="0"/>
        <c:ser>
          <c:idx val="2"/>
          <c:order val="3"/>
          <c:tx>
            <c:strRef>
              <c:f>'Resumen de Demandas Bancos'!$S$35:$S$37</c:f>
              <c:strCache>
                <c:ptCount val="3"/>
                <c:pt idx="0">
                  <c:v>Porcentaje Utilizacion 2020</c:v>
                </c:pt>
              </c:strCache>
            </c:strRef>
          </c:tx>
          <c:marker>
            <c:symbol val="diamond"/>
            <c:size val="6"/>
          </c:marker>
          <c:val>
            <c:numRef>
              <c:f>'Resumen de Demandas Bancos'!$S$38:$S$41</c:f>
              <c:numCache>
                <c:formatCode>0%</c:formatCode>
                <c:ptCount val="4"/>
                <c:pt idx="0">
                  <c:v>0.93258426966292141</c:v>
                </c:pt>
                <c:pt idx="1">
                  <c:v>0.7752808988764045</c:v>
                </c:pt>
                <c:pt idx="2">
                  <c:v>0.4044943820224719</c:v>
                </c:pt>
                <c:pt idx="3">
                  <c:v>0.32203389830508472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BE3-4BBF-93C0-416A35A98428}"/>
            </c:ext>
          </c:extLst>
        </c:ser>
        <c:ser>
          <c:idx val="4"/>
          <c:order val="4"/>
          <c:tx>
            <c:strRef>
              <c:f>'Resumen de Demandas Bancos'!$T$35:$T$37</c:f>
              <c:strCache>
                <c:ptCount val="3"/>
                <c:pt idx="0">
                  <c:v>Porcentaje Utilizacion 2021</c:v>
                </c:pt>
              </c:strCache>
            </c:strRef>
          </c:tx>
          <c:marker>
            <c:symbol val="diamond"/>
            <c:size val="6"/>
          </c:marker>
          <c:val>
            <c:numRef>
              <c:f>'Resumen de Demandas Bancos'!$T$38:$T$41</c:f>
              <c:numCache>
                <c:formatCode>0%</c:formatCode>
                <c:ptCount val="4"/>
                <c:pt idx="0">
                  <c:v>0.93258426966292141</c:v>
                </c:pt>
                <c:pt idx="1">
                  <c:v>0.87640449438202239</c:v>
                </c:pt>
                <c:pt idx="2">
                  <c:v>0.4044943820224719</c:v>
                </c:pt>
                <c:pt idx="3">
                  <c:v>0.32203389830508472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BE3-4BBF-93C0-416A35A984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"/>
        <c:axId val="4"/>
      </c:lineChart>
      <c:catAx>
        <c:axId val="474350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-270000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/>
        <c:numFmt formatCode="_-* #,##0.0_-;\-* #,##0.0_-;_-* &quot;-&quot;??_-;_-@_-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50383"/>
        <c:crosses val="autoZero"/>
        <c:crossBetween val="between"/>
        <c:majorUnit val="0.5"/>
      </c:valAx>
      <c:catAx>
        <c:axId val="3"/>
        <c:scaling>
          <c:orientation val="minMax"/>
        </c:scaling>
        <c:delete val="1"/>
        <c:axPos val="b"/>
        <c:majorTickMark val="out"/>
        <c:minorTickMark val="none"/>
        <c:tickLblPos val="nextTo"/>
        <c:crossAx val="4"/>
        <c:crosses val="autoZero"/>
        <c:auto val="1"/>
        <c:lblAlgn val="ctr"/>
        <c:lblOffset val="100"/>
        <c:noMultiLvlLbl val="0"/>
      </c:catAx>
      <c:valAx>
        <c:axId val="4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3"/>
        <c:crosses val="max"/>
        <c:crossBetween val="between"/>
        <c:majorUnit val="5.000000000000001E-2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plotVisOnly val="1"/>
    <c:dispBlanksAs val="gap"/>
    <c:showDLblsOverMax val="0"/>
  </c:chart>
  <c:spPr>
    <a:solidFill>
      <a:schemeClr val="accent3">
        <a:lumMod val="20000"/>
        <a:lumOff val="80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CHICBUL'!$A$31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CHICBUL'!$B$32:$N$32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4758.4574380000004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E5-40BD-BF4C-22F2A7B82C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0833631"/>
        <c:axId val="1"/>
      </c:lineChart>
      <c:dateAx>
        <c:axId val="4708336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ajorUnit val="1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0833631"/>
        <c:crosses val="autoZero"/>
        <c:crossBetween val="between"/>
        <c:majorUnit val="1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2858452406853292"/>
          <c:y val="0.67116774544128033"/>
          <c:w val="7.7722582084967115E-2"/>
          <c:h val="0.16108025890590727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Calkini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CALKINI'!$A$12</c:f>
              <c:strCache>
                <c:ptCount val="1"/>
                <c:pt idx="0">
                  <c:v>CKD04010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CALKINI'!$B$13:$N$13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3417.2633460000002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1B-41A7-8FD6-841D9FD91A68}"/>
            </c:ext>
          </c:extLst>
        </c:ser>
        <c:ser>
          <c:idx val="1"/>
          <c:order val="1"/>
          <c:tx>
            <c:strRef>
              <c:f>'S.E CALKINI'!$A$19</c:f>
              <c:strCache>
                <c:ptCount val="1"/>
                <c:pt idx="0">
                  <c:v>CKD04020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CALKINI'!$B$20:$N$20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3780.5950109999999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21B-41A7-8FD6-841D9FD91A68}"/>
            </c:ext>
          </c:extLst>
        </c:ser>
        <c:ser>
          <c:idx val="2"/>
          <c:order val="2"/>
          <c:tx>
            <c:strRef>
              <c:f>'S.E CALKINI'!$A$26</c:f>
              <c:strCache>
                <c:ptCount val="1"/>
                <c:pt idx="0">
                  <c:v>CKD04030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CALKINI'!$B$27:$N$27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3623.5983070000002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21B-41A7-8FD6-841D9FD91A68}"/>
            </c:ext>
          </c:extLst>
        </c:ser>
        <c:ser>
          <c:idx val="3"/>
          <c:order val="3"/>
          <c:tx>
            <c:strRef>
              <c:f>'S.E CALKINI'!$A$33</c:f>
              <c:strCache>
                <c:ptCount val="1"/>
                <c:pt idx="0">
                  <c:v>CKD04040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CALKINI'!$B$34:$N$34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2015.1033319999999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21B-41A7-8FD6-841D9FD91A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4341231"/>
        <c:axId val="1"/>
      </c:lineChart>
      <c:dateAx>
        <c:axId val="474341231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41231"/>
        <c:crosses val="autoZero"/>
        <c:crossBetween val="between"/>
        <c:majorUnit val="10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32395388537566211"/>
          <c:y val="0.95216534650840479"/>
          <c:w val="0.34693459577988528"/>
          <c:h val="3.1048869994839284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CALKINI'!$A$45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CALKINI'!$B$46:$N$46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12387.799967000001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72-4865-9F41-F5159C0A82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4351215"/>
        <c:axId val="1"/>
      </c:lineChart>
      <c:dateAx>
        <c:axId val="4743512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51215"/>
        <c:crosses val="autoZero"/>
        <c:crossBetween val="between"/>
        <c:majorUnit val="3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57001284834575"/>
          <c:y val="0.92249344496637031"/>
          <c:w val="7.7780246096059047E-2"/>
          <c:h val="4.7715178187915715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Champotón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CHAMPOTON'!$A$12</c:f>
              <c:strCache>
                <c:ptCount val="1"/>
                <c:pt idx="0">
                  <c:v>CMO05220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CHAMPOTON'!$B$13:$N$13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7022.330078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D54-48CF-8FD4-7CA63DF96EE8}"/>
            </c:ext>
          </c:extLst>
        </c:ser>
        <c:ser>
          <c:idx val="1"/>
          <c:order val="1"/>
          <c:tx>
            <c:strRef>
              <c:f>'S.E CHAMPOTON'!$A$19</c:f>
              <c:strCache>
                <c:ptCount val="1"/>
                <c:pt idx="0">
                  <c:v>CMO05230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CHAMPOTON'!$B$20:$N$20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D54-48CF-8FD4-7CA63DF96EE8}"/>
            </c:ext>
          </c:extLst>
        </c:ser>
        <c:ser>
          <c:idx val="2"/>
          <c:order val="2"/>
          <c:tx>
            <c:strRef>
              <c:f>'S.E CHAMPOTON'!$A$26</c:f>
              <c:strCache>
                <c:ptCount val="1"/>
                <c:pt idx="0">
                  <c:v>CMO05240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CHAMPOTON'!$B$27:$N$27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2702.3500159999999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D54-48CF-8FD4-7CA63DF96EE8}"/>
            </c:ext>
          </c:extLst>
        </c:ser>
        <c:ser>
          <c:idx val="3"/>
          <c:order val="3"/>
          <c:tx>
            <c:strRef>
              <c:f>'S.E CHAMPOTON'!$A$50</c:f>
              <c:strCache>
                <c:ptCount val="1"/>
                <c:pt idx="0">
                  <c:v>CMO04010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CHAMPOTON'!$B$51:$N$51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4875.1166990000002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D54-48CF-8FD4-7CA63DF96EE8}"/>
            </c:ext>
          </c:extLst>
        </c:ser>
        <c:ser>
          <c:idx val="4"/>
          <c:order val="4"/>
          <c:tx>
            <c:strRef>
              <c:f>'S.E CHAMPOTON'!$A$57</c:f>
              <c:strCache>
                <c:ptCount val="1"/>
                <c:pt idx="0">
                  <c:v>CMO04020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CHAMPOTON'!$B$58:$N$58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5009.7784009999996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D54-48CF-8FD4-7CA63DF96EE8}"/>
            </c:ext>
          </c:extLst>
        </c:ser>
        <c:ser>
          <c:idx val="5"/>
          <c:order val="5"/>
          <c:tx>
            <c:strRef>
              <c:f>'S.E CHAMPOTON'!$A$64</c:f>
              <c:strCache>
                <c:ptCount val="1"/>
                <c:pt idx="0">
                  <c:v>CMO04030</c:v>
                </c:pt>
              </c:strCache>
            </c:strRef>
          </c:tx>
          <c:marker>
            <c:symbol val="circle"/>
            <c:size val="5"/>
          </c:marker>
          <c:val>
            <c:numRef>
              <c:f>'S.E CHAMPOTON'!$B$65:$N$65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2118.829956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D54-48CF-8FD4-7CA63DF96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8613167"/>
        <c:axId val="1"/>
      </c:lineChart>
      <c:dateAx>
        <c:axId val="468613167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8613167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22255891724579627"/>
          <c:y val="0.95093541893218947"/>
          <c:w val="0.55046238865460284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CHAMPOTON'!$A$38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CHAMPOTON'!$B$39:$N$39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9781.9233390000009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B65-4120-A398-1183887C5BA1}"/>
            </c:ext>
          </c:extLst>
        </c:ser>
        <c:ser>
          <c:idx val="1"/>
          <c:order val="1"/>
          <c:tx>
            <c:strRef>
              <c:f>'S.E CHAMPOTON'!$A$75</c:f>
              <c:strCache>
                <c:ptCount val="1"/>
                <c:pt idx="0">
                  <c:v>Banco  2</c:v>
                </c:pt>
              </c:strCache>
            </c:strRef>
          </c:tx>
          <c:marker>
            <c:symbol val="circle"/>
            <c:size val="5"/>
          </c:marker>
          <c:val>
            <c:numRef>
              <c:f>'S.E CHAMPOTON'!$B$76:$N$76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11873.933268000001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B65-4120-A398-1183887C5B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8115967"/>
        <c:axId val="1"/>
      </c:lineChart>
      <c:dateAx>
        <c:axId val="4681159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8115967"/>
        <c:crosses val="autoZero"/>
        <c:crossBetween val="between"/>
        <c:majorUnit val="3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166180402314007"/>
          <c:y val="0.95029814932863665"/>
          <c:w val="0.15567578015764083"/>
          <c:h val="3.225906023180662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Cayal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CAYAL'!$A$12</c:f>
              <c:strCache>
                <c:ptCount val="1"/>
                <c:pt idx="0">
                  <c:v>CYL05010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CAYAL'!$B$13:$N$13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6038.7749830000002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14-4F96-9ECF-0108892EA04C}"/>
            </c:ext>
          </c:extLst>
        </c:ser>
        <c:ser>
          <c:idx val="1"/>
          <c:order val="1"/>
          <c:tx>
            <c:strRef>
              <c:f>'S.E CAYAL'!$A$19</c:f>
              <c:strCache>
                <c:ptCount val="1"/>
                <c:pt idx="0">
                  <c:v>CYL05020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CAYAL'!$B$20:$N$20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14-4F96-9ECF-0108892EA04C}"/>
            </c:ext>
          </c:extLst>
        </c:ser>
        <c:ser>
          <c:idx val="2"/>
          <c:order val="2"/>
          <c:tx>
            <c:strRef>
              <c:f>'S.E CAYAL'!$A$26</c:f>
              <c:strCache>
                <c:ptCount val="1"/>
                <c:pt idx="0">
                  <c:v>CYL05030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CAYAL'!$B$27:$N$27</c:f>
              <c:numCache>
                <c:formatCode>_-* #,##0_-;\-* #,##0_-;_-* "-"??_-;_-@_-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A14-4F96-9ECF-0108892EA04C}"/>
            </c:ext>
          </c:extLst>
        </c:ser>
        <c:ser>
          <c:idx val="3"/>
          <c:order val="3"/>
          <c:tx>
            <c:strRef>
              <c:f>'S.E CAYAL'!$A$50</c:f>
              <c:strCache>
                <c:ptCount val="1"/>
                <c:pt idx="0">
                  <c:v>CYL05040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CAYAL'!$B$51:$N$51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3846.7629229999998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A14-4F96-9ECF-0108892EA04C}"/>
            </c:ext>
          </c:extLst>
        </c:ser>
        <c:ser>
          <c:idx val="4"/>
          <c:order val="4"/>
          <c:tx>
            <c:strRef>
              <c:f>'S.E CAYAL'!$A$57</c:f>
              <c:strCache>
                <c:ptCount val="1"/>
                <c:pt idx="0">
                  <c:v>CYL05050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CAYAL'!$B$58:$N$58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2666.4616289999999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A14-4F96-9ECF-0108892EA0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9750127"/>
        <c:axId val="1"/>
      </c:lineChart>
      <c:dateAx>
        <c:axId val="469750127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9750127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28614691019452071"/>
          <c:y val="0.95222745075139081"/>
          <c:w val="0.42106591966447615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CAYAL'!$A$38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CAYAL'!$B$39:$N$39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7920.9982909999999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BD2-40E2-A2D8-EB1F2EB7E544}"/>
            </c:ext>
          </c:extLst>
        </c:ser>
        <c:ser>
          <c:idx val="1"/>
          <c:order val="1"/>
          <c:tx>
            <c:strRef>
              <c:f>'S.E CAYAL'!$A$69</c:f>
              <c:strCache>
                <c:ptCount val="1"/>
                <c:pt idx="0">
                  <c:v>Banco  2</c:v>
                </c:pt>
              </c:strCache>
            </c:strRef>
          </c:tx>
          <c:marker>
            <c:symbol val="circle"/>
            <c:size val="5"/>
          </c:marker>
          <c:val>
            <c:numRef>
              <c:f>'S.E CAYAL'!$B$70:$N$70</c:f>
              <c:numCache>
                <c:formatCode>_-* #,##0_-;\-* #,##0_-;_-* "-"??_-;_-@_-</c:formatCode>
                <c:ptCount val="13"/>
                <c:pt idx="1">
                  <c:v>4680</c:v>
                </c:pt>
                <c:pt idx="2">
                  <c:v>5279.3899730000003</c:v>
                </c:pt>
                <c:pt idx="3">
                  <c:v>6120.6017250000004</c:v>
                </c:pt>
                <c:pt idx="4">
                  <c:v>5732</c:v>
                </c:pt>
                <c:pt idx="5" formatCode="General">
                  <c:v>7052.2592619999996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BD2-40E2-A2D8-EB1F2EB7E5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6719647"/>
        <c:axId val="1"/>
      </c:lineChart>
      <c:dateAx>
        <c:axId val="46671964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6719647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1674108298891893"/>
          <c:y val="0.95029814932863665"/>
          <c:w val="0.15544516416993423"/>
          <c:h val="3.225906023180662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Escarcega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ESCARCEGA'!$A$12</c:f>
              <c:strCache>
                <c:ptCount val="1"/>
                <c:pt idx="0">
                  <c:v>ESA05220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ESCARCEGA'!$B$13:$N$13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7439.4366040000004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CAE-48A1-83B4-7DC4F64328C3}"/>
            </c:ext>
          </c:extLst>
        </c:ser>
        <c:ser>
          <c:idx val="1"/>
          <c:order val="1"/>
          <c:tx>
            <c:strRef>
              <c:f>'S.E ESCARCEGA'!$A$19</c:f>
              <c:strCache>
                <c:ptCount val="1"/>
                <c:pt idx="0">
                  <c:v>ESA05230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ESCARCEGA'!$B$20:$N$20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1310.712436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CAE-48A1-83B4-7DC4F64328C3}"/>
            </c:ext>
          </c:extLst>
        </c:ser>
        <c:ser>
          <c:idx val="2"/>
          <c:order val="2"/>
          <c:tx>
            <c:strRef>
              <c:f>'S.E ESCARCEGA'!$A$26</c:f>
              <c:strCache>
                <c:ptCount val="1"/>
                <c:pt idx="0">
                  <c:v>ESA05240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ESCARCEGA'!$B$27:$N$27</c:f>
              <c:numCache>
                <c:formatCode>_-* #,##0_-;\-* #,##0_-;_-* "-"??_-;_-@_-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CAE-48A1-83B4-7DC4F64328C3}"/>
            </c:ext>
          </c:extLst>
        </c:ser>
        <c:ser>
          <c:idx val="3"/>
          <c:order val="3"/>
          <c:tx>
            <c:strRef>
              <c:f>'S.E ESCARCEGA'!$A$50</c:f>
              <c:strCache>
                <c:ptCount val="1"/>
                <c:pt idx="0">
                  <c:v>ESA04010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ESCARCEGA'!$B$51:$N$51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4025.0016679999999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CAE-48A1-83B4-7DC4F64328C3}"/>
            </c:ext>
          </c:extLst>
        </c:ser>
        <c:ser>
          <c:idx val="4"/>
          <c:order val="4"/>
          <c:tx>
            <c:strRef>
              <c:f>'S.E ESCARCEGA'!$A$57</c:f>
              <c:strCache>
                <c:ptCount val="1"/>
                <c:pt idx="0">
                  <c:v>ESA04020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ESCARCEGA'!$B$58:$N$58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3437.8966869999999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CAE-48A1-83B4-7DC4F64328C3}"/>
            </c:ext>
          </c:extLst>
        </c:ser>
        <c:ser>
          <c:idx val="5"/>
          <c:order val="5"/>
          <c:tx>
            <c:strRef>
              <c:f>'S.E ESCARCEGA'!$A$64</c:f>
              <c:strCache>
                <c:ptCount val="1"/>
                <c:pt idx="0">
                  <c:v>ESA04030</c:v>
                </c:pt>
              </c:strCache>
            </c:strRef>
          </c:tx>
          <c:val>
            <c:numRef>
              <c:f>'S.E ESCARCEGA'!$B$65:$N$65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4791.2383620000001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CAE-48A1-83B4-7DC4F64328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15871"/>
        <c:axId val="1"/>
      </c:lineChart>
      <c:dateAx>
        <c:axId val="467015871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15871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23962176756797396"/>
          <c:y val="0.95093541893218947"/>
          <c:w val="0.51040178355035948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ESCARCEGA'!$A$38</c:f>
              <c:strCache>
                <c:ptCount val="1"/>
                <c:pt idx="0">
                  <c:v>Banco  2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ESCARCEGA'!$B$39:$N$39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11283.600097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03A-4CF0-AA08-257E31E7DC3B}"/>
            </c:ext>
          </c:extLst>
        </c:ser>
        <c:ser>
          <c:idx val="1"/>
          <c:order val="1"/>
          <c:tx>
            <c:strRef>
              <c:f>'S.E ESCARCEGA'!$A$76</c:f>
              <c:strCache>
                <c:ptCount val="1"/>
                <c:pt idx="0">
                  <c:v>Banco  3</c:v>
                </c:pt>
              </c:strCache>
            </c:strRef>
          </c:tx>
          <c:marker>
            <c:symbol val="circle"/>
            <c:size val="5"/>
          </c:marker>
          <c:val>
            <c:numRef>
              <c:f>'S.E ESCARCEGA'!$B$77:$N$77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12438.066731000001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03A-4CF0-AA08-257E31E7DC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20863"/>
        <c:axId val="1"/>
      </c:lineChart>
      <c:dateAx>
        <c:axId val="4670208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20863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1735935347024661"/>
          <c:y val="0.95029814932863665"/>
          <c:w val="0.15567578015764083"/>
          <c:h val="3.225906023180662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Hecelchakan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HECELCHAKAN'!$A$12</c:f>
              <c:strCache>
                <c:ptCount val="1"/>
                <c:pt idx="0">
                  <c:v>HCE04010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HECELCHAKAN'!$B$13:$N$13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429.69047599999999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95B-4A0F-9CDD-248DB79AF4EA}"/>
            </c:ext>
          </c:extLst>
        </c:ser>
        <c:ser>
          <c:idx val="1"/>
          <c:order val="1"/>
          <c:tx>
            <c:strRef>
              <c:f>'S.E HECELCHAKAN'!$A$19</c:f>
              <c:strCache>
                <c:ptCount val="1"/>
                <c:pt idx="0">
                  <c:v>HCE04020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HECELCHAKAN'!$B$20:$N$20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1346.6666660000001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95B-4A0F-9CDD-248DB79AF4EA}"/>
            </c:ext>
          </c:extLst>
        </c:ser>
        <c:ser>
          <c:idx val="2"/>
          <c:order val="2"/>
          <c:tx>
            <c:strRef>
              <c:f>'S.E HECELCHAKAN'!$A$26</c:f>
              <c:strCache>
                <c:ptCount val="1"/>
                <c:pt idx="0">
                  <c:v>HCE04030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HECELCHAKAN'!$B$27:$N$27</c:f>
              <c:numCache>
                <c:formatCode>_-* #,##0_-;\-* #,##0_-;_-* "-"??_-;_-@_-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2490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95B-4A0F-9CDD-248DB79AF4EA}"/>
            </c:ext>
          </c:extLst>
        </c:ser>
        <c:ser>
          <c:idx val="3"/>
          <c:order val="3"/>
          <c:tx>
            <c:strRef>
              <c:f>'S.E HECELCHAKAN'!$A$33</c:f>
              <c:strCache>
                <c:ptCount val="1"/>
                <c:pt idx="0">
                  <c:v>HCE04040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HECELCHAKAN'!$B$34:$N$34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1960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95B-4A0F-9CDD-248DB79AF4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17951"/>
        <c:axId val="1"/>
      </c:lineChart>
      <c:dateAx>
        <c:axId val="467017951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17951"/>
        <c:crosses val="autoZero"/>
        <c:crossBetween val="between"/>
        <c:majorUnit val="1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32395388537566211"/>
          <c:y val="0.94964338711298801"/>
          <c:w val="0.34693459577988528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MX" sz="1600" b="1" i="0" u="none" strike="noStrike" baseline="0">
                <a:solidFill>
                  <a:srgbClr val="333333"/>
                </a:solidFill>
                <a:latin typeface="Calibri"/>
                <a:cs typeface="Calibri"/>
              </a:rPr>
              <a:t>DEMANDA DE TRANSFORMADORES DE POTENCIA</a:t>
            </a:r>
            <a:r>
              <a:rPr lang="es-MX" sz="1400" b="0" i="0" u="none" strike="noStrike" baseline="0">
                <a:solidFill>
                  <a:srgbClr val="333333"/>
                </a:solidFill>
                <a:latin typeface="Calibri"/>
                <a:cs typeface="Calibri"/>
              </a:rPr>
              <a:t>.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'Resumen de Demandas Bancos'!$P$4:$P$6</c:f>
              <c:strCache>
                <c:ptCount val="3"/>
                <c:pt idx="0">
                  <c:v>Capacidad (MW)</c:v>
                </c:pt>
              </c:strCache>
            </c:strRef>
          </c:tx>
          <c:spPr>
            <a:solidFill>
              <a:srgbClr val="4F81BD"/>
            </a:solidFill>
            <a:ln w="25400">
              <a:noFill/>
            </a:ln>
          </c:spPr>
          <c:invertIfNegative val="0"/>
          <c:cat>
            <c:strRef>
              <c:f>'Resumen de Demandas Bancos'!$N$7:$N$28</c:f>
              <c:strCache>
                <c:ptCount val="22"/>
                <c:pt idx="0">
                  <c:v>HPN-T1</c:v>
                </c:pt>
                <c:pt idx="1">
                  <c:v>CDA-T1</c:v>
                </c:pt>
                <c:pt idx="2">
                  <c:v>KAL-T1</c:v>
                </c:pt>
                <c:pt idx="3">
                  <c:v>SAD-T1</c:v>
                </c:pt>
                <c:pt idx="4">
                  <c:v>KAL-T2</c:v>
                </c:pt>
                <c:pt idx="5">
                  <c:v>SHC-T1</c:v>
                </c:pt>
                <c:pt idx="6">
                  <c:v>AKI-T1</c:v>
                </c:pt>
                <c:pt idx="7">
                  <c:v>ESA-T2</c:v>
                </c:pt>
                <c:pt idx="8">
                  <c:v>CKD-T1</c:v>
                </c:pt>
                <c:pt idx="9">
                  <c:v>ESA-T3</c:v>
                </c:pt>
                <c:pt idx="10">
                  <c:v>SAM-T1</c:v>
                </c:pt>
                <c:pt idx="11">
                  <c:v>CMO-T2</c:v>
                </c:pt>
                <c:pt idx="12">
                  <c:v>CAS-T1</c:v>
                </c:pt>
                <c:pt idx="13">
                  <c:v>SAM-T2</c:v>
                </c:pt>
                <c:pt idx="14">
                  <c:v>HOP-T1</c:v>
                </c:pt>
                <c:pt idx="15">
                  <c:v>CBU-T1</c:v>
                </c:pt>
                <c:pt idx="16">
                  <c:v>CMO-T1</c:v>
                </c:pt>
                <c:pt idx="17">
                  <c:v>SBP-T1</c:v>
                </c:pt>
                <c:pt idx="18">
                  <c:v>HCE-T1</c:v>
                </c:pt>
                <c:pt idx="19">
                  <c:v>CYL-T1</c:v>
                </c:pt>
                <c:pt idx="20">
                  <c:v>SAU-T1</c:v>
                </c:pt>
                <c:pt idx="21">
                  <c:v>CYL-T2</c:v>
                </c:pt>
              </c:strCache>
            </c:strRef>
          </c:cat>
          <c:val>
            <c:numRef>
              <c:f>'Resumen de Demandas Bancos'!$P$7:$P$28</c:f>
              <c:numCache>
                <c:formatCode>_-* #,##0.0_-;\-* #,##0.0_-;_-* "-"??_-;_-@_-</c:formatCode>
                <c:ptCount val="22"/>
                <c:pt idx="0">
                  <c:v>8.9</c:v>
                </c:pt>
                <c:pt idx="1">
                  <c:v>8.9</c:v>
                </c:pt>
                <c:pt idx="2">
                  <c:v>19</c:v>
                </c:pt>
                <c:pt idx="3">
                  <c:v>28.5</c:v>
                </c:pt>
                <c:pt idx="4">
                  <c:v>19</c:v>
                </c:pt>
                <c:pt idx="5">
                  <c:v>4.8</c:v>
                </c:pt>
                <c:pt idx="6">
                  <c:v>19</c:v>
                </c:pt>
                <c:pt idx="7">
                  <c:v>19</c:v>
                </c:pt>
                <c:pt idx="8">
                  <c:v>19</c:v>
                </c:pt>
                <c:pt idx="9">
                  <c:v>19</c:v>
                </c:pt>
                <c:pt idx="10">
                  <c:v>28.5</c:v>
                </c:pt>
                <c:pt idx="11">
                  <c:v>19</c:v>
                </c:pt>
                <c:pt idx="12">
                  <c:v>19</c:v>
                </c:pt>
                <c:pt idx="13">
                  <c:v>28.5</c:v>
                </c:pt>
                <c:pt idx="14">
                  <c:v>19</c:v>
                </c:pt>
                <c:pt idx="15">
                  <c:v>8.9</c:v>
                </c:pt>
                <c:pt idx="16">
                  <c:v>19</c:v>
                </c:pt>
                <c:pt idx="17">
                  <c:v>8.9</c:v>
                </c:pt>
                <c:pt idx="18">
                  <c:v>19</c:v>
                </c:pt>
                <c:pt idx="19">
                  <c:v>19</c:v>
                </c:pt>
                <c:pt idx="20">
                  <c:v>5.9</c:v>
                </c:pt>
                <c:pt idx="21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20A-4842-A610-00368459A182}"/>
            </c:ext>
          </c:extLst>
        </c:ser>
        <c:ser>
          <c:idx val="1"/>
          <c:order val="1"/>
          <c:tx>
            <c:strRef>
              <c:f>'Resumen de Demandas Bancos'!$Q$4</c:f>
              <c:strCache>
                <c:ptCount val="1"/>
                <c:pt idx="0">
                  <c:v>Demanda Abril 2019 (MW)</c:v>
                </c:pt>
              </c:strCache>
            </c:strRef>
          </c:tx>
          <c:spPr>
            <a:solidFill>
              <a:srgbClr val="C0504D"/>
            </a:solidFill>
            <a:ln w="25400">
              <a:noFill/>
            </a:ln>
          </c:spPr>
          <c:invertIfNegative val="0"/>
          <c:cat>
            <c:strRef>
              <c:f>'Resumen de Demandas Bancos'!$N$7:$N$28</c:f>
              <c:strCache>
                <c:ptCount val="22"/>
                <c:pt idx="0">
                  <c:v>HPN-T1</c:v>
                </c:pt>
                <c:pt idx="1">
                  <c:v>CDA-T1</c:v>
                </c:pt>
                <c:pt idx="2">
                  <c:v>KAL-T1</c:v>
                </c:pt>
                <c:pt idx="3">
                  <c:v>SAD-T1</c:v>
                </c:pt>
                <c:pt idx="4">
                  <c:v>KAL-T2</c:v>
                </c:pt>
                <c:pt idx="5">
                  <c:v>SHC-T1</c:v>
                </c:pt>
                <c:pt idx="6">
                  <c:v>AKI-T1</c:v>
                </c:pt>
                <c:pt idx="7">
                  <c:v>ESA-T2</c:v>
                </c:pt>
                <c:pt idx="8">
                  <c:v>CKD-T1</c:v>
                </c:pt>
                <c:pt idx="9">
                  <c:v>ESA-T3</c:v>
                </c:pt>
                <c:pt idx="10">
                  <c:v>SAM-T1</c:v>
                </c:pt>
                <c:pt idx="11">
                  <c:v>CMO-T2</c:v>
                </c:pt>
                <c:pt idx="12">
                  <c:v>CAS-T1</c:v>
                </c:pt>
                <c:pt idx="13">
                  <c:v>SAM-T2</c:v>
                </c:pt>
                <c:pt idx="14">
                  <c:v>HOP-T1</c:v>
                </c:pt>
                <c:pt idx="15">
                  <c:v>CBU-T1</c:v>
                </c:pt>
                <c:pt idx="16">
                  <c:v>CMO-T1</c:v>
                </c:pt>
                <c:pt idx="17">
                  <c:v>SBP-T1</c:v>
                </c:pt>
                <c:pt idx="18">
                  <c:v>HCE-T1</c:v>
                </c:pt>
                <c:pt idx="19">
                  <c:v>CYL-T1</c:v>
                </c:pt>
                <c:pt idx="20">
                  <c:v>SAU-T1</c:v>
                </c:pt>
                <c:pt idx="21">
                  <c:v>CYL-T2</c:v>
                </c:pt>
              </c:strCache>
            </c:strRef>
          </c:cat>
          <c:val>
            <c:numRef>
              <c:f>'Resumen de Demandas Bancos'!$Q$7:$Q$28</c:f>
              <c:numCache>
                <c:formatCode>_-* #,##0.0_-;\-* #,##0.0_-;_-* "-"??_-;_-@_-</c:formatCode>
                <c:ptCount val="22"/>
                <c:pt idx="0">
                  <c:v>8.1</c:v>
                </c:pt>
                <c:pt idx="1">
                  <c:v>6.8</c:v>
                </c:pt>
                <c:pt idx="2">
                  <c:v>14.276</c:v>
                </c:pt>
                <c:pt idx="3">
                  <c:v>20.969000000000001</c:v>
                </c:pt>
                <c:pt idx="4">
                  <c:v>12.784000000000001</c:v>
                </c:pt>
                <c:pt idx="5">
                  <c:v>3.7090000000000001</c:v>
                </c:pt>
                <c:pt idx="6">
                  <c:v>16.46</c:v>
                </c:pt>
                <c:pt idx="7">
                  <c:v>15.432</c:v>
                </c:pt>
                <c:pt idx="8">
                  <c:v>10.457000000000001</c:v>
                </c:pt>
                <c:pt idx="9">
                  <c:v>9.56</c:v>
                </c:pt>
                <c:pt idx="10">
                  <c:v>14.792999999999999</c:v>
                </c:pt>
                <c:pt idx="11">
                  <c:v>9.5500000000000007</c:v>
                </c:pt>
                <c:pt idx="12">
                  <c:v>0</c:v>
                </c:pt>
                <c:pt idx="13">
                  <c:v>16.233000000000001</c:v>
                </c:pt>
                <c:pt idx="14">
                  <c:v>9.1</c:v>
                </c:pt>
                <c:pt idx="15">
                  <c:v>5.2910000000000004</c:v>
                </c:pt>
                <c:pt idx="16">
                  <c:v>8.4369999999999994</c:v>
                </c:pt>
                <c:pt idx="17">
                  <c:v>3.3</c:v>
                </c:pt>
                <c:pt idx="18">
                  <c:v>6.0259999999999998</c:v>
                </c:pt>
                <c:pt idx="19">
                  <c:v>7.9720000000000004</c:v>
                </c:pt>
                <c:pt idx="20">
                  <c:v>1.8</c:v>
                </c:pt>
                <c:pt idx="21">
                  <c:v>5.2089999999999996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20A-4842-A610-00368459A182}"/>
            </c:ext>
          </c:extLst>
        </c:ser>
        <c:ser>
          <c:idx val="2"/>
          <c:order val="2"/>
          <c:tx>
            <c:strRef>
              <c:f>'Resumen de Demandas Bancos'!$R$4</c:f>
              <c:strCache>
                <c:ptCount val="1"/>
                <c:pt idx="0">
                  <c:v>Demanda abril 2021 (MW)</c:v>
                </c:pt>
              </c:strCache>
            </c:strRef>
          </c:tx>
          <c:spPr>
            <a:solidFill>
              <a:srgbClr val="9BBB59"/>
            </a:solidFill>
            <a:ln w="25400">
              <a:noFill/>
            </a:ln>
          </c:spPr>
          <c:invertIfNegative val="0"/>
          <c:cat>
            <c:strRef>
              <c:f>'Resumen de Demandas Bancos'!$N$7:$N$28</c:f>
              <c:strCache>
                <c:ptCount val="22"/>
                <c:pt idx="0">
                  <c:v>HPN-T1</c:v>
                </c:pt>
                <c:pt idx="1">
                  <c:v>CDA-T1</c:v>
                </c:pt>
                <c:pt idx="2">
                  <c:v>KAL-T1</c:v>
                </c:pt>
                <c:pt idx="3">
                  <c:v>SAD-T1</c:v>
                </c:pt>
                <c:pt idx="4">
                  <c:v>KAL-T2</c:v>
                </c:pt>
                <c:pt idx="5">
                  <c:v>SHC-T1</c:v>
                </c:pt>
                <c:pt idx="6">
                  <c:v>AKI-T1</c:v>
                </c:pt>
                <c:pt idx="7">
                  <c:v>ESA-T2</c:v>
                </c:pt>
                <c:pt idx="8">
                  <c:v>CKD-T1</c:v>
                </c:pt>
                <c:pt idx="9">
                  <c:v>ESA-T3</c:v>
                </c:pt>
                <c:pt idx="10">
                  <c:v>SAM-T1</c:v>
                </c:pt>
                <c:pt idx="11">
                  <c:v>CMO-T2</c:v>
                </c:pt>
                <c:pt idx="12">
                  <c:v>CAS-T1</c:v>
                </c:pt>
                <c:pt idx="13">
                  <c:v>SAM-T2</c:v>
                </c:pt>
                <c:pt idx="14">
                  <c:v>HOP-T1</c:v>
                </c:pt>
                <c:pt idx="15">
                  <c:v>CBU-T1</c:v>
                </c:pt>
                <c:pt idx="16">
                  <c:v>CMO-T1</c:v>
                </c:pt>
                <c:pt idx="17">
                  <c:v>SBP-T1</c:v>
                </c:pt>
                <c:pt idx="18">
                  <c:v>HCE-T1</c:v>
                </c:pt>
                <c:pt idx="19">
                  <c:v>CYL-T1</c:v>
                </c:pt>
                <c:pt idx="20">
                  <c:v>SAU-T1</c:v>
                </c:pt>
                <c:pt idx="21">
                  <c:v>CYL-T2</c:v>
                </c:pt>
              </c:strCache>
            </c:strRef>
          </c:cat>
          <c:val>
            <c:numRef>
              <c:f>'Resumen de Demandas Bancos'!$R$7:$R$28</c:f>
              <c:numCache>
                <c:formatCode>_-* #,##0.0_-;\-* #,##0.0_-;_-* "-"??_-;_-@_-</c:formatCode>
                <c:ptCount val="22"/>
                <c:pt idx="0">
                  <c:v>8.36</c:v>
                </c:pt>
                <c:pt idx="1">
                  <c:v>7.86</c:v>
                </c:pt>
                <c:pt idx="2">
                  <c:v>16.588000000000001</c:v>
                </c:pt>
                <c:pt idx="3">
                  <c:v>23.783999999999999</c:v>
                </c:pt>
                <c:pt idx="4">
                  <c:v>14.817</c:v>
                </c:pt>
                <c:pt idx="5">
                  <c:v>3.665</c:v>
                </c:pt>
                <c:pt idx="6">
                  <c:v>13.711</c:v>
                </c:pt>
                <c:pt idx="7">
                  <c:v>12.379</c:v>
                </c:pt>
                <c:pt idx="8">
                  <c:v>12.324999999999999</c:v>
                </c:pt>
                <c:pt idx="9">
                  <c:v>11.093999999999999</c:v>
                </c:pt>
                <c:pt idx="10">
                  <c:v>16.164000000000001</c:v>
                </c:pt>
                <c:pt idx="11">
                  <c:v>10.664999999999999</c:v>
                </c:pt>
                <c:pt idx="12">
                  <c:v>10.362</c:v>
                </c:pt>
                <c:pt idx="13">
                  <c:v>15.034000000000001</c:v>
                </c:pt>
                <c:pt idx="14">
                  <c:v>9.6820000000000004</c:v>
                </c:pt>
                <c:pt idx="15">
                  <c:v>4.53</c:v>
                </c:pt>
                <c:pt idx="16">
                  <c:v>9.452</c:v>
                </c:pt>
                <c:pt idx="17">
                  <c:v>3.57</c:v>
                </c:pt>
                <c:pt idx="18">
                  <c:v>6.9969999999999999</c:v>
                </c:pt>
                <c:pt idx="19">
                  <c:v>6.8449999999999998</c:v>
                </c:pt>
                <c:pt idx="20">
                  <c:v>1.875</c:v>
                </c:pt>
                <c:pt idx="21">
                  <c:v>5.9960000000000004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20A-4842-A610-00368459A1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74337903"/>
        <c:axId val="1"/>
      </c:barChart>
      <c:lineChart>
        <c:grouping val="standard"/>
        <c:varyColors val="0"/>
        <c:ser>
          <c:idx val="3"/>
          <c:order val="3"/>
          <c:tx>
            <c:strRef>
              <c:f>'Resumen de Demandas Bancos'!$S$4</c:f>
              <c:strCache>
                <c:ptCount val="1"/>
                <c:pt idx="0">
                  <c:v>Porcentaje Utilizacion 2020</c:v>
                </c:pt>
              </c:strCache>
            </c:strRef>
          </c:tx>
          <c:marker>
            <c:symbol val="diamond"/>
            <c:size val="6"/>
          </c:marker>
          <c:cat>
            <c:multiLvlStrRef>
              <c:f>'Resumen de Demandas Bancos'!$N$5:$O$28</c:f>
              <c:multiLvlStrCache>
                <c:ptCount val="24"/>
                <c:lvl>
                  <c:pt idx="2">
                    <c:v>34.5/13.8</c:v>
                  </c:pt>
                  <c:pt idx="3">
                    <c:v>34.5/13.8</c:v>
                  </c:pt>
                  <c:pt idx="4">
                    <c:v>115/13.8</c:v>
                  </c:pt>
                  <c:pt idx="5">
                    <c:v>115/13.8</c:v>
                  </c:pt>
                  <c:pt idx="6">
                    <c:v>115/13.8</c:v>
                  </c:pt>
                  <c:pt idx="7">
                    <c:v>115/34.5</c:v>
                  </c:pt>
                  <c:pt idx="8">
                    <c:v>115/13.8</c:v>
                  </c:pt>
                  <c:pt idx="9">
                    <c:v>115/34.5</c:v>
                  </c:pt>
                  <c:pt idx="10">
                    <c:v>115/13.8</c:v>
                  </c:pt>
                  <c:pt idx="11">
                    <c:v>115/13.8</c:v>
                  </c:pt>
                  <c:pt idx="12">
                    <c:v>115/13.8</c:v>
                  </c:pt>
                  <c:pt idx="13">
                    <c:v>115/13.8</c:v>
                  </c:pt>
                  <c:pt idx="14">
                    <c:v>115/34.6</c:v>
                  </c:pt>
                  <c:pt idx="15">
                    <c:v>115/13.8</c:v>
                  </c:pt>
                  <c:pt idx="16">
                    <c:v>115/34.5</c:v>
                  </c:pt>
                  <c:pt idx="17">
                    <c:v>115/34.5</c:v>
                  </c:pt>
                  <c:pt idx="18">
                    <c:v>115/34.5</c:v>
                  </c:pt>
                  <c:pt idx="19">
                    <c:v>34.5/13.8</c:v>
                  </c:pt>
                  <c:pt idx="20">
                    <c:v>115/13.8</c:v>
                  </c:pt>
                  <c:pt idx="21">
                    <c:v>115/34.5</c:v>
                  </c:pt>
                  <c:pt idx="22">
                    <c:v>34.5/13.8</c:v>
                  </c:pt>
                  <c:pt idx="23">
                    <c:v>115/34.5</c:v>
                  </c:pt>
                </c:lvl>
                <c:lvl>
                  <c:pt idx="2">
                    <c:v>HPN-T1</c:v>
                  </c:pt>
                  <c:pt idx="3">
                    <c:v>CDA-T1</c:v>
                  </c:pt>
                  <c:pt idx="4">
                    <c:v>KAL-T1</c:v>
                  </c:pt>
                  <c:pt idx="5">
                    <c:v>SAD-T1</c:v>
                  </c:pt>
                  <c:pt idx="6">
                    <c:v>KAL-T2</c:v>
                  </c:pt>
                  <c:pt idx="7">
                    <c:v>SHC-T1</c:v>
                  </c:pt>
                  <c:pt idx="8">
                    <c:v>AKI-T1</c:v>
                  </c:pt>
                  <c:pt idx="9">
                    <c:v>ESA-T2</c:v>
                  </c:pt>
                  <c:pt idx="10">
                    <c:v>CKD-T1</c:v>
                  </c:pt>
                  <c:pt idx="11">
                    <c:v>ESA-T3</c:v>
                  </c:pt>
                  <c:pt idx="12">
                    <c:v>SAM-T1</c:v>
                  </c:pt>
                  <c:pt idx="13">
                    <c:v>CMO-T2</c:v>
                  </c:pt>
                  <c:pt idx="14">
                    <c:v>CAS-T1</c:v>
                  </c:pt>
                  <c:pt idx="15">
                    <c:v>SAM-T2</c:v>
                  </c:pt>
                  <c:pt idx="16">
                    <c:v>HOP-T1</c:v>
                  </c:pt>
                  <c:pt idx="17">
                    <c:v>CBU-T1</c:v>
                  </c:pt>
                  <c:pt idx="18">
                    <c:v>CMO-T1</c:v>
                  </c:pt>
                  <c:pt idx="19">
                    <c:v>SBP-T1</c:v>
                  </c:pt>
                  <c:pt idx="20">
                    <c:v>HCE-T1</c:v>
                  </c:pt>
                  <c:pt idx="21">
                    <c:v>CYL-T1</c:v>
                  </c:pt>
                  <c:pt idx="22">
                    <c:v>SAU-T1</c:v>
                  </c:pt>
                  <c:pt idx="23">
                    <c:v>CYL-T2</c:v>
                  </c:pt>
                </c:lvl>
              </c:multiLvlStrCache>
            </c:multiLvlStrRef>
          </c:cat>
          <c:val>
            <c:numRef>
              <c:f>'Resumen de Demandas Bancos'!$S$7:$S$28</c:f>
              <c:numCache>
                <c:formatCode>0%</c:formatCode>
                <c:ptCount val="22"/>
                <c:pt idx="0">
                  <c:v>0.91011235955056169</c:v>
                </c:pt>
                <c:pt idx="1">
                  <c:v>0.7640449438202247</c:v>
                </c:pt>
                <c:pt idx="2">
                  <c:v>0.75136842105263157</c:v>
                </c:pt>
                <c:pt idx="3">
                  <c:v>0.73575438596491227</c:v>
                </c:pt>
                <c:pt idx="4">
                  <c:v>0.67284210526315791</c:v>
                </c:pt>
                <c:pt idx="5">
                  <c:v>0.77270833333333333</c:v>
                </c:pt>
                <c:pt idx="6">
                  <c:v>0.86631578947368426</c:v>
                </c:pt>
                <c:pt idx="7">
                  <c:v>0.81221052631578949</c:v>
                </c:pt>
                <c:pt idx="8">
                  <c:v>0.55036842105263162</c:v>
                </c:pt>
                <c:pt idx="9">
                  <c:v>0.50315789473684214</c:v>
                </c:pt>
                <c:pt idx="10">
                  <c:v>0.51905263157894732</c:v>
                </c:pt>
                <c:pt idx="11">
                  <c:v>0.50263157894736843</c:v>
                </c:pt>
                <c:pt idx="12">
                  <c:v>0</c:v>
                </c:pt>
                <c:pt idx="13">
                  <c:v>0.56957894736842107</c:v>
                </c:pt>
                <c:pt idx="14">
                  <c:v>0.47894736842105262</c:v>
                </c:pt>
                <c:pt idx="15">
                  <c:v>0.59449438202247196</c:v>
                </c:pt>
                <c:pt idx="16">
                  <c:v>0.44405263157894731</c:v>
                </c:pt>
                <c:pt idx="17">
                  <c:v>0.37078651685393255</c:v>
                </c:pt>
                <c:pt idx="18">
                  <c:v>0.31715789473684208</c:v>
                </c:pt>
                <c:pt idx="19">
                  <c:v>0.41957894736842105</c:v>
                </c:pt>
                <c:pt idx="20">
                  <c:v>0.30508474576271183</c:v>
                </c:pt>
                <c:pt idx="21">
                  <c:v>0.2741578947368421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20A-4842-A610-00368459A182}"/>
            </c:ext>
          </c:extLst>
        </c:ser>
        <c:ser>
          <c:idx val="4"/>
          <c:order val="4"/>
          <c:tx>
            <c:strRef>
              <c:f>'Resumen de Demandas Bancos'!$T$4</c:f>
              <c:strCache>
                <c:ptCount val="1"/>
                <c:pt idx="0">
                  <c:v>Porcentaje Utilizacion 2021</c:v>
                </c:pt>
              </c:strCache>
            </c:strRef>
          </c:tx>
          <c:marker>
            <c:symbol val="diamond"/>
            <c:size val="6"/>
          </c:marker>
          <c:cat>
            <c:multiLvlStrRef>
              <c:f>'Resumen de Demandas Bancos'!$N$5:$O$28</c:f>
              <c:multiLvlStrCache>
                <c:ptCount val="24"/>
                <c:lvl>
                  <c:pt idx="2">
                    <c:v>34.5/13.8</c:v>
                  </c:pt>
                  <c:pt idx="3">
                    <c:v>34.5/13.8</c:v>
                  </c:pt>
                  <c:pt idx="4">
                    <c:v>115/13.8</c:v>
                  </c:pt>
                  <c:pt idx="5">
                    <c:v>115/13.8</c:v>
                  </c:pt>
                  <c:pt idx="6">
                    <c:v>115/13.8</c:v>
                  </c:pt>
                  <c:pt idx="7">
                    <c:v>115/34.5</c:v>
                  </c:pt>
                  <c:pt idx="8">
                    <c:v>115/13.8</c:v>
                  </c:pt>
                  <c:pt idx="9">
                    <c:v>115/34.5</c:v>
                  </c:pt>
                  <c:pt idx="10">
                    <c:v>115/13.8</c:v>
                  </c:pt>
                  <c:pt idx="11">
                    <c:v>115/13.8</c:v>
                  </c:pt>
                  <c:pt idx="12">
                    <c:v>115/13.8</c:v>
                  </c:pt>
                  <c:pt idx="13">
                    <c:v>115/13.8</c:v>
                  </c:pt>
                  <c:pt idx="14">
                    <c:v>115/34.6</c:v>
                  </c:pt>
                  <c:pt idx="15">
                    <c:v>115/13.8</c:v>
                  </c:pt>
                  <c:pt idx="16">
                    <c:v>115/34.5</c:v>
                  </c:pt>
                  <c:pt idx="17">
                    <c:v>115/34.5</c:v>
                  </c:pt>
                  <c:pt idx="18">
                    <c:v>115/34.5</c:v>
                  </c:pt>
                  <c:pt idx="19">
                    <c:v>34.5/13.8</c:v>
                  </c:pt>
                  <c:pt idx="20">
                    <c:v>115/13.8</c:v>
                  </c:pt>
                  <c:pt idx="21">
                    <c:v>115/34.5</c:v>
                  </c:pt>
                  <c:pt idx="22">
                    <c:v>34.5/13.8</c:v>
                  </c:pt>
                  <c:pt idx="23">
                    <c:v>115/34.5</c:v>
                  </c:pt>
                </c:lvl>
                <c:lvl>
                  <c:pt idx="2">
                    <c:v>HPN-T1</c:v>
                  </c:pt>
                  <c:pt idx="3">
                    <c:v>CDA-T1</c:v>
                  </c:pt>
                  <c:pt idx="4">
                    <c:v>KAL-T1</c:v>
                  </c:pt>
                  <c:pt idx="5">
                    <c:v>SAD-T1</c:v>
                  </c:pt>
                  <c:pt idx="6">
                    <c:v>KAL-T2</c:v>
                  </c:pt>
                  <c:pt idx="7">
                    <c:v>SHC-T1</c:v>
                  </c:pt>
                  <c:pt idx="8">
                    <c:v>AKI-T1</c:v>
                  </c:pt>
                  <c:pt idx="9">
                    <c:v>ESA-T2</c:v>
                  </c:pt>
                  <c:pt idx="10">
                    <c:v>CKD-T1</c:v>
                  </c:pt>
                  <c:pt idx="11">
                    <c:v>ESA-T3</c:v>
                  </c:pt>
                  <c:pt idx="12">
                    <c:v>SAM-T1</c:v>
                  </c:pt>
                  <c:pt idx="13">
                    <c:v>CMO-T2</c:v>
                  </c:pt>
                  <c:pt idx="14">
                    <c:v>CAS-T1</c:v>
                  </c:pt>
                  <c:pt idx="15">
                    <c:v>SAM-T2</c:v>
                  </c:pt>
                  <c:pt idx="16">
                    <c:v>HOP-T1</c:v>
                  </c:pt>
                  <c:pt idx="17">
                    <c:v>CBU-T1</c:v>
                  </c:pt>
                  <c:pt idx="18">
                    <c:v>CMO-T1</c:v>
                  </c:pt>
                  <c:pt idx="19">
                    <c:v>SBP-T1</c:v>
                  </c:pt>
                  <c:pt idx="20">
                    <c:v>HCE-T1</c:v>
                  </c:pt>
                  <c:pt idx="21">
                    <c:v>CYL-T1</c:v>
                  </c:pt>
                  <c:pt idx="22">
                    <c:v>SAU-T1</c:v>
                  </c:pt>
                  <c:pt idx="23">
                    <c:v>CYL-T2</c:v>
                  </c:pt>
                </c:lvl>
              </c:multiLvlStrCache>
            </c:multiLvlStrRef>
          </c:cat>
          <c:val>
            <c:numRef>
              <c:f>'Resumen de Demandas Bancos'!$T$7:$T$28</c:f>
              <c:numCache>
                <c:formatCode>0%</c:formatCode>
                <c:ptCount val="22"/>
                <c:pt idx="0">
                  <c:v>0.93932584269662911</c:v>
                </c:pt>
                <c:pt idx="1">
                  <c:v>0.88314606741573032</c:v>
                </c:pt>
                <c:pt idx="2">
                  <c:v>0.87305263157894741</c:v>
                </c:pt>
                <c:pt idx="3">
                  <c:v>0.83452631578947367</c:v>
                </c:pt>
                <c:pt idx="4">
                  <c:v>0.77984210526315789</c:v>
                </c:pt>
                <c:pt idx="5">
                  <c:v>0.76354166666666667</c:v>
                </c:pt>
                <c:pt idx="6">
                  <c:v>0.7216315789473684</c:v>
                </c:pt>
                <c:pt idx="7">
                  <c:v>0.65152631578947362</c:v>
                </c:pt>
                <c:pt idx="8">
                  <c:v>0.64868421052631575</c:v>
                </c:pt>
                <c:pt idx="9">
                  <c:v>0.58389473684210524</c:v>
                </c:pt>
                <c:pt idx="10">
                  <c:v>0.56715789473684219</c:v>
                </c:pt>
                <c:pt idx="11">
                  <c:v>0.56131578947368421</c:v>
                </c:pt>
                <c:pt idx="12">
                  <c:v>0.54536842105263161</c:v>
                </c:pt>
                <c:pt idx="13">
                  <c:v>0.52750877192982459</c:v>
                </c:pt>
                <c:pt idx="14">
                  <c:v>0.50957894736842102</c:v>
                </c:pt>
                <c:pt idx="15">
                  <c:v>0.50898876404494386</c:v>
                </c:pt>
                <c:pt idx="16">
                  <c:v>0.49747368421052629</c:v>
                </c:pt>
                <c:pt idx="17">
                  <c:v>0.40112359550561794</c:v>
                </c:pt>
                <c:pt idx="18">
                  <c:v>0.36826315789473685</c:v>
                </c:pt>
                <c:pt idx="19">
                  <c:v>0.36026315789473684</c:v>
                </c:pt>
                <c:pt idx="20">
                  <c:v>0.31779661016949151</c:v>
                </c:pt>
                <c:pt idx="21">
                  <c:v>0.31557894736842107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20A-4842-A610-00368459A1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"/>
        <c:axId val="4"/>
      </c:lineChart>
      <c:catAx>
        <c:axId val="474337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/>
        <c:numFmt formatCode="_-* #,##0.0_-;\-* #,##0.0_-;_-* &quot;-&quot;??_-;_-@_-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37903"/>
        <c:crosses val="autoZero"/>
        <c:crossBetween val="between"/>
        <c:majorUnit val="2"/>
        <c:minorUnit val="1"/>
      </c:valAx>
      <c:catAx>
        <c:axId val="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4"/>
        <c:crosses val="autoZero"/>
        <c:auto val="1"/>
        <c:lblAlgn val="ctr"/>
        <c:lblOffset val="100"/>
        <c:noMultiLvlLbl val="0"/>
      </c:catAx>
      <c:valAx>
        <c:axId val="4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3"/>
        <c:crosses val="max"/>
        <c:crossBetween val="between"/>
        <c:majorUnit val="4.0000000000000008E-2"/>
        <c:minorUnit val="1.0000000000000002E-2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10940030965887748"/>
          <c:y val="0.9498991276518749"/>
          <c:w val="0.7538803389954698"/>
          <c:h val="3.430191294298438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accent3">
        <a:lumMod val="20000"/>
        <a:lumOff val="80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HECELCHAKAN'!$A$45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HECELCHAKAN'!$B$46:$N$46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7797.5383300000003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AF-4BA3-807E-350346E514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19199"/>
        <c:axId val="1"/>
      </c:lineChart>
      <c:dateAx>
        <c:axId val="46701919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19199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23226649766452"/>
          <c:y val="0.91906623900490769"/>
          <c:w val="7.7722582084967115E-2"/>
          <c:h val="5.2518070800280439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Kala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KALA'!$A$12</c:f>
              <c:strCache>
                <c:ptCount val="1"/>
                <c:pt idx="0">
                  <c:v>KAL04010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KALA'!$B$9:$N$10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KALA'!$B$13:$N$13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6044.0232740000001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614-4FFC-A4C7-9EE2E48C2360}"/>
            </c:ext>
          </c:extLst>
        </c:ser>
        <c:ser>
          <c:idx val="1"/>
          <c:order val="1"/>
          <c:tx>
            <c:strRef>
              <c:f>'S.E KALA'!$A$19</c:f>
              <c:strCache>
                <c:ptCount val="1"/>
                <c:pt idx="0">
                  <c:v>KAL04020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KALA'!$B$9:$N$10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KALA'!$B$20:$N$20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614-4FFC-A4C7-9EE2E48C2360}"/>
            </c:ext>
          </c:extLst>
        </c:ser>
        <c:ser>
          <c:idx val="2"/>
          <c:order val="2"/>
          <c:tx>
            <c:strRef>
              <c:f>'S.E KALA'!$A$26</c:f>
              <c:strCache>
                <c:ptCount val="1"/>
                <c:pt idx="0">
                  <c:v>KAL04030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KALA'!$B$9:$N$10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KALA'!$B$27:$N$27</c:f>
              <c:numCache>
                <c:formatCode>_-* #,##0_-;\-* #,##0_-;_-* "-"??_-;_-@_-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7497.1483559999997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614-4FFC-A4C7-9EE2E48C2360}"/>
            </c:ext>
          </c:extLst>
        </c:ser>
        <c:ser>
          <c:idx val="3"/>
          <c:order val="3"/>
          <c:tx>
            <c:strRef>
              <c:f>'S.E KALA'!$A$33</c:f>
              <c:strCache>
                <c:ptCount val="1"/>
                <c:pt idx="0">
                  <c:v>KAL04040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KALA'!$B$9:$N$10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KALA'!$B$34:$N$34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4172.9150390000004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614-4FFC-A4C7-9EE2E48C2360}"/>
            </c:ext>
          </c:extLst>
        </c:ser>
        <c:ser>
          <c:idx val="4"/>
          <c:order val="4"/>
          <c:tx>
            <c:strRef>
              <c:f>'S.E KALA'!$A$57</c:f>
              <c:strCache>
                <c:ptCount val="1"/>
                <c:pt idx="0">
                  <c:v>KAL04050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'S.E KALA'!$B$9:$N$10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KALA'!$B$58:$N$58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4355.3299960000004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614-4FFC-A4C7-9EE2E48C2360}"/>
            </c:ext>
          </c:extLst>
        </c:ser>
        <c:ser>
          <c:idx val="5"/>
          <c:order val="5"/>
          <c:tx>
            <c:strRef>
              <c:f>'S.E KALA'!$A$64</c:f>
              <c:strCache>
                <c:ptCount val="1"/>
                <c:pt idx="0">
                  <c:v>KAL04060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'S.E KALA'!$B$9:$N$10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KALA'!$B$65:$N$65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5072.4082840000001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614-4FFC-A4C7-9EE2E48C2360}"/>
            </c:ext>
          </c:extLst>
        </c:ser>
        <c:ser>
          <c:idx val="6"/>
          <c:order val="6"/>
          <c:tx>
            <c:strRef>
              <c:f>'S.E KALA'!$A$71</c:f>
              <c:strCache>
                <c:ptCount val="1"/>
                <c:pt idx="0">
                  <c:v>KAL04070</c:v>
                </c:pt>
              </c:strCache>
            </c:strRef>
          </c:tx>
          <c:marker>
            <c:symbol val="circle"/>
            <c:size val="5"/>
          </c:marker>
          <c:cat>
            <c:strRef>
              <c:f>'S.E KALA'!$B$9:$N$10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KALA'!$B$72:$N$72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5288.0467930000004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614-4FFC-A4C7-9EE2E48C23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16287"/>
        <c:axId val="1"/>
      </c:lineChart>
      <c:dateAx>
        <c:axId val="467016287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16287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19941326124954942"/>
          <c:y val="0.95222745075139081"/>
          <c:w val="0.59527453079326464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KALA'!$A$45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KALA'!$B$9:$N$10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KALA'!$B$46:$N$46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17347.116860999999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A4C-4612-A7D3-30B751A72BB3}"/>
            </c:ext>
          </c:extLst>
        </c:ser>
        <c:ser>
          <c:idx val="1"/>
          <c:order val="1"/>
          <c:tx>
            <c:strRef>
              <c:f>'S.E KALA'!$A$83</c:f>
              <c:strCache>
                <c:ptCount val="1"/>
                <c:pt idx="0">
                  <c:v>Banco  2</c:v>
                </c:pt>
              </c:strCache>
            </c:strRef>
          </c:tx>
          <c:marker>
            <c:symbol val="circle"/>
            <c:size val="5"/>
          </c:marker>
          <c:cat>
            <c:strRef>
              <c:f>'S.E KALA'!$B$9:$N$10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KALA'!$B$84:$N$84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14566.583495999999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A4C-4612-A7D3-30B751A72B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24191"/>
        <c:axId val="1"/>
      </c:lineChart>
      <c:dateAx>
        <c:axId val="4670241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24191"/>
        <c:crosses val="autoZero"/>
        <c:crossBetween val="between"/>
        <c:majorUnit val="8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1630950767604935"/>
          <c:y val="0.95029814932863665"/>
          <c:w val="0.15556049219211809"/>
          <c:h val="3.225906023180662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Lerma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'S.E LERMA'!$A$12</c:f>
              <c:strCache>
                <c:ptCount val="1"/>
                <c:pt idx="0">
                  <c:v>LRA43080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LERMA'!$B$13:$N$13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4063.9716790000002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15E-45DD-8463-1460B86CED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10879"/>
        <c:axId val="1"/>
      </c:lineChart>
      <c:dateAx>
        <c:axId val="467010879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10879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112542735714239"/>
          <c:y val="0.95222745075139081"/>
          <c:w val="9.1114002569669159E-2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LERMA'!$A$24</c:f>
              <c:strCache>
                <c:ptCount val="1"/>
                <c:pt idx="0">
                  <c:v>Banco  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LERMA'!$B$25:$N$25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4106.7133379999996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134-41B9-AFEA-9ACAA6DB59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12127"/>
        <c:axId val="1"/>
      </c:lineChart>
      <c:dateAx>
        <c:axId val="46701212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12127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23226649766452"/>
          <c:y val="0.92011456372748235"/>
          <c:w val="7.7722582084967115E-2"/>
          <c:h val="5.183744020999901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Samula II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SAMULA II'!$A$12</c:f>
              <c:strCache>
                <c:ptCount val="1"/>
                <c:pt idx="0">
                  <c:v>SAD04010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II'!$B$13:$N$13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2780.0500080000002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16E-47DA-8700-60D422EDB296}"/>
            </c:ext>
          </c:extLst>
        </c:ser>
        <c:ser>
          <c:idx val="1"/>
          <c:order val="1"/>
          <c:tx>
            <c:strRef>
              <c:f>'S.E SAMULA II'!$A$19</c:f>
              <c:strCache>
                <c:ptCount val="1"/>
                <c:pt idx="0">
                  <c:v>SAD04020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II'!$B$20:$N$20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5820.4299309999997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16E-47DA-8700-60D422EDB296}"/>
            </c:ext>
          </c:extLst>
        </c:ser>
        <c:ser>
          <c:idx val="2"/>
          <c:order val="2"/>
          <c:tx>
            <c:strRef>
              <c:f>'S.E SAMULA II'!$A$26</c:f>
              <c:strCache>
                <c:ptCount val="1"/>
                <c:pt idx="0">
                  <c:v>SAD04030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II'!$B$27:$N$27</c:f>
              <c:numCache>
                <c:formatCode>_-* #,##0_-;\-* #,##0_-;_-* "-"??_-;_-@_-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6560.779947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16E-47DA-8700-60D422EDB296}"/>
            </c:ext>
          </c:extLst>
        </c:ser>
        <c:ser>
          <c:idx val="3"/>
          <c:order val="3"/>
          <c:tx>
            <c:strRef>
              <c:f>'S.E SAMULA II'!$A$33</c:f>
              <c:strCache>
                <c:ptCount val="1"/>
                <c:pt idx="0">
                  <c:v>SAD04040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II'!$B$34:$N$34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5133.3416340000003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16E-47DA-8700-60D422EDB296}"/>
            </c:ext>
          </c:extLst>
        </c:ser>
        <c:ser>
          <c:idx val="4"/>
          <c:order val="4"/>
          <c:tx>
            <c:strRef>
              <c:f>'S.E SAMULA II'!$A$40</c:f>
              <c:strCache>
                <c:ptCount val="1"/>
                <c:pt idx="0">
                  <c:v>SAD04050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II'!$B$41:$N$41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2853.6151249999998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16E-47DA-8700-60D422EDB296}"/>
            </c:ext>
          </c:extLst>
        </c:ser>
        <c:ser>
          <c:idx val="5"/>
          <c:order val="5"/>
          <c:tx>
            <c:strRef>
              <c:f>'S.E SAMULA II'!$A$47</c:f>
              <c:strCache>
                <c:ptCount val="1"/>
                <c:pt idx="0">
                  <c:v>SAD04060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val>
            <c:numRef>
              <c:f>'S.E SAMULA II'!$B$48:$N$48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3946.4200030000002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16E-47DA-8700-60D422EDB2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0153343"/>
        <c:axId val="1"/>
      </c:lineChart>
      <c:dateAx>
        <c:axId val="470153343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0153343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23926685227644826"/>
          <c:y val="0.95222745075139081"/>
          <c:w val="0.52001650247079467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SAMULA II'!$A$59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II'!$B$60:$N$60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26103.299803999998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1B-47DA-BC20-933FF1B136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0829055"/>
        <c:axId val="1"/>
      </c:lineChart>
      <c:dateAx>
        <c:axId val="47082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0829055"/>
        <c:crosses val="autoZero"/>
        <c:crossBetween val="between"/>
        <c:majorUnit val="8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97248156514048"/>
          <c:y val="0.94895402181897814"/>
          <c:w val="7.7722582084967115E-2"/>
          <c:h val="3.225906023180662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13.8kv SE. Samula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SAMULA SF6'!$A$12</c:f>
              <c:strCache>
                <c:ptCount val="1"/>
                <c:pt idx="0">
                  <c:v>SAM04015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3596.1183259999998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D7-4DFB-93F4-5E66AC771911}"/>
            </c:ext>
          </c:extLst>
        </c:ser>
        <c:ser>
          <c:idx val="1"/>
          <c:order val="1"/>
          <c:tx>
            <c:strRef>
              <c:f>'S.E SAMULA SF6'!$A$19</c:f>
              <c:strCache>
                <c:ptCount val="1"/>
                <c:pt idx="0">
                  <c:v>SAM04025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4706.8116040000004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D7-4DFB-93F4-5E66AC771911}"/>
            </c:ext>
          </c:extLst>
        </c:ser>
        <c:ser>
          <c:idx val="2"/>
          <c:order val="2"/>
          <c:tx>
            <c:strRef>
              <c:f>'S.E SAMULA SF6'!$A$26</c:f>
              <c:strCache>
                <c:ptCount val="1"/>
                <c:pt idx="0">
                  <c:v>SAM04035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SF6'!$B$27:$N$27</c:f>
              <c:numCache>
                <c:formatCode>_-* #,##0_-;\-* #,##0_-;_-* "-"??_-;_-@_-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3525.1966550000002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BD7-4DFB-93F4-5E66AC771911}"/>
            </c:ext>
          </c:extLst>
        </c:ser>
        <c:ser>
          <c:idx val="3"/>
          <c:order val="3"/>
          <c:tx>
            <c:strRef>
              <c:f>'S.E SAMULA SF6'!$A$33</c:f>
              <c:strCache>
                <c:ptCount val="1"/>
                <c:pt idx="0">
                  <c:v>SAM04045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SF6'!$B$34:$N$34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3676.6433099999999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BD7-4DFB-93F4-5E66AC771911}"/>
            </c:ext>
          </c:extLst>
        </c:ser>
        <c:ser>
          <c:idx val="4"/>
          <c:order val="4"/>
          <c:tx>
            <c:strRef>
              <c:f>'S.E SAMULA SF6'!$A$40</c:f>
              <c:strCache>
                <c:ptCount val="1"/>
                <c:pt idx="0">
                  <c:v>SAM04055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SF6'!$B$41:$N$41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3728.7600090000001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BD7-4DFB-93F4-5E66AC771911}"/>
            </c:ext>
          </c:extLst>
        </c:ser>
        <c:ser>
          <c:idx val="5"/>
          <c:order val="5"/>
          <c:tx>
            <c:strRef>
              <c:f>'S.E SAMULA SF6'!$A$64</c:f>
              <c:strCache>
                <c:ptCount val="1"/>
                <c:pt idx="0">
                  <c:v>SAM04065</c:v>
                </c:pt>
              </c:strCache>
            </c:strRef>
          </c:tx>
          <c:marker>
            <c:symbol val="circle"/>
            <c:size val="5"/>
          </c:marker>
          <c:val>
            <c:numRef>
              <c:f>'S.E SAMULA SF6'!$B$65:$N$65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4086.1933589999999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2BD7-4DFB-93F4-5E66AC771911}"/>
            </c:ext>
          </c:extLst>
        </c:ser>
        <c:ser>
          <c:idx val="6"/>
          <c:order val="6"/>
          <c:tx>
            <c:strRef>
              <c:f>'S.E SAMULA SF6'!$A$71</c:f>
              <c:strCache>
                <c:ptCount val="1"/>
                <c:pt idx="0">
                  <c:v>SAM04075</c:v>
                </c:pt>
              </c:strCache>
            </c:strRef>
          </c:tx>
          <c:marker>
            <c:symbol val="circle"/>
            <c:size val="5"/>
          </c:marker>
          <c:val>
            <c:numRef>
              <c:f>'S.E SAMULA SF6'!$B$72:$N$72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5578.8033850000002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2BD7-4DFB-93F4-5E66AC771911}"/>
            </c:ext>
          </c:extLst>
        </c:ser>
        <c:ser>
          <c:idx val="7"/>
          <c:order val="7"/>
          <c:tx>
            <c:strRef>
              <c:f>'S.E SAMULA SF6'!$A$78</c:f>
              <c:strCache>
                <c:ptCount val="1"/>
                <c:pt idx="0">
                  <c:v>SAM04085</c:v>
                </c:pt>
              </c:strCache>
            </c:strRef>
          </c:tx>
          <c:marker>
            <c:symbol val="circle"/>
            <c:size val="5"/>
          </c:marker>
          <c:val>
            <c:numRef>
              <c:f>'S.E SAMULA SF6'!$B$79:$N$79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2670.6183259999998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BD7-4DFB-93F4-5E66AC771911}"/>
            </c:ext>
          </c:extLst>
        </c:ser>
        <c:ser>
          <c:idx val="8"/>
          <c:order val="8"/>
          <c:tx>
            <c:strRef>
              <c:f>'S.E SAMULA SF6'!$A$85</c:f>
              <c:strCache>
                <c:ptCount val="1"/>
                <c:pt idx="0">
                  <c:v>SAM04095</c:v>
                </c:pt>
              </c:strCache>
            </c:strRef>
          </c:tx>
          <c:marker>
            <c:symbol val="circle"/>
            <c:size val="5"/>
          </c:marker>
          <c:val>
            <c:numRef>
              <c:f>'S.E SAMULA SF6'!$B$86:$N$86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2154.6233309999998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BD7-4DFB-93F4-5E66AC771911}"/>
            </c:ext>
          </c:extLst>
        </c:ser>
        <c:ser>
          <c:idx val="9"/>
          <c:order val="9"/>
          <c:tx>
            <c:strRef>
              <c:f>'S.E SAMULA SF6'!$A$92</c:f>
              <c:strCache>
                <c:ptCount val="1"/>
                <c:pt idx="0">
                  <c:v>SAM04105</c:v>
                </c:pt>
              </c:strCache>
            </c:strRef>
          </c:tx>
          <c:marker>
            <c:symbol val="circle"/>
            <c:size val="5"/>
          </c:marker>
          <c:val>
            <c:numRef>
              <c:f>'S.E SAMULA SF6'!$B$93:$N$93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2409.8816320000001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BD7-4DFB-93F4-5E66AC7719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9758447"/>
        <c:axId val="1"/>
      </c:lineChart>
      <c:dateAx>
        <c:axId val="469758447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9758447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6.4542086001280918E-2"/>
          <c:y val="0.9495779406755015"/>
          <c:w val="0.86649605114363348"/>
          <c:h val="3.1048869994839284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SAMULA SF6'!$A$52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SF6'!$B$53:$N$53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18347.733398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E70-4195-B5F8-A21C0D5F2F12}"/>
            </c:ext>
          </c:extLst>
        </c:ser>
        <c:ser>
          <c:idx val="1"/>
          <c:order val="1"/>
          <c:tx>
            <c:strRef>
              <c:f>'S.E SAMULA SF6'!$A$104</c:f>
              <c:strCache>
                <c:ptCount val="1"/>
                <c:pt idx="0">
                  <c:v>Banco  2</c:v>
                </c:pt>
              </c:strCache>
            </c:strRef>
          </c:tx>
          <c:marker>
            <c:symbol val="circle"/>
            <c:size val="5"/>
          </c:marker>
          <c:val>
            <c:numRef>
              <c:f>'S.E SAMULA SF6'!$B$105:$N$105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15899.8833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E70-4195-B5F8-A21C0D5F2F12}"/>
            </c:ext>
          </c:extLst>
        </c:ser>
        <c:ser>
          <c:idx val="2"/>
          <c:order val="2"/>
          <c:tx>
            <c:strRef>
              <c:f>'S.E SAMULA SF6'!$A$149</c:f>
              <c:strCache>
                <c:ptCount val="1"/>
                <c:pt idx="0">
                  <c:v>Banco  3</c:v>
                </c:pt>
              </c:strCache>
            </c:strRef>
          </c:tx>
          <c:marker>
            <c:symbol val="circle"/>
            <c:size val="5"/>
          </c:marker>
          <c:val>
            <c:numRef>
              <c:f>'S.E SAMULA SF6'!$B$150:$N$150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5016.8600260000003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E70-4195-B5F8-A21C0D5F2F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689711"/>
        <c:axId val="1"/>
      </c:lineChart>
      <c:dateAx>
        <c:axId val="4676897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689711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37732843857256759"/>
          <c:y val="0.95036520917086342"/>
          <c:w val="0.23351367023646125"/>
          <c:h val="3.221576980240215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34.5kv SE. Samula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SAMULA SF6'!$A$116</c:f>
              <c:strCache>
                <c:ptCount val="1"/>
                <c:pt idx="0">
                  <c:v>SAM05015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SF6'!$B$117:$N$117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3260.216715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BE-43CA-92C9-40CD977C7C42}"/>
            </c:ext>
          </c:extLst>
        </c:ser>
        <c:ser>
          <c:idx val="1"/>
          <c:order val="1"/>
          <c:tx>
            <c:strRef>
              <c:f>'S.E SAMULA SF6'!$A$123</c:f>
              <c:strCache>
                <c:ptCount val="1"/>
                <c:pt idx="0">
                  <c:v>SAM05025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SF6'!$B$124:$N$124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BE-43CA-92C9-40CD977C7C42}"/>
            </c:ext>
          </c:extLst>
        </c:ser>
        <c:ser>
          <c:idx val="2"/>
          <c:order val="2"/>
          <c:tx>
            <c:strRef>
              <c:f>'S.E SAMULA SF6'!$A$130</c:f>
              <c:strCache>
                <c:ptCount val="1"/>
                <c:pt idx="0">
                  <c:v>SAM05035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SF6'!$B$131:$N$131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BE-43CA-92C9-40CD977C7C42}"/>
            </c:ext>
          </c:extLst>
        </c:ser>
        <c:ser>
          <c:idx val="3"/>
          <c:order val="3"/>
          <c:tx>
            <c:strRef>
              <c:f>'S.E SAMULA SF6'!$A$137</c:f>
              <c:strCache>
                <c:ptCount val="1"/>
                <c:pt idx="0">
                  <c:v>SAM05045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SAMULA SF6'!$B$138:$N$138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1450.493367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2BE-43CA-92C9-40CD977C7C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707839"/>
        <c:axId val="1"/>
      </c:lineChart>
      <c:dateAx>
        <c:axId val="609707839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609707839"/>
        <c:crosses val="autoZero"/>
        <c:crossBetween val="between"/>
        <c:majorUnit val="10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31825925166148866"/>
          <c:y val="0.95222745075139081"/>
          <c:w val="0.35831985676573203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MX" sz="1600" b="1" i="0" u="none" strike="noStrike" baseline="0">
                <a:solidFill>
                  <a:srgbClr val="333333"/>
                </a:solidFill>
                <a:latin typeface="Calibri"/>
                <a:cs typeface="Calibri"/>
              </a:rPr>
              <a:t>DEMANDA DE TRANSFORMADORES DE POTENCIA</a:t>
            </a:r>
            <a:r>
              <a:rPr lang="es-MX" sz="1400" b="0" i="0" u="none" strike="noStrike" baseline="0">
                <a:solidFill>
                  <a:srgbClr val="333333"/>
                </a:solidFill>
                <a:latin typeface="Calibri"/>
                <a:cs typeface="Calibri"/>
              </a:rPr>
              <a:t>.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'Resumen de Demandas Bancos'!$X$4:$X$6</c:f>
              <c:strCache>
                <c:ptCount val="3"/>
                <c:pt idx="0">
                  <c:v>Capacidad (MW)</c:v>
                </c:pt>
              </c:strCache>
            </c:strRef>
          </c:tx>
          <c:spPr>
            <a:solidFill>
              <a:srgbClr val="4F81BD"/>
            </a:solidFill>
            <a:ln w="25400">
              <a:noFill/>
            </a:ln>
          </c:spPr>
          <c:invertIfNegative val="0"/>
          <c:cat>
            <c:multiLvlStrRef>
              <c:f>'Resumen de Demandas Bancos'!$V$7:$W$32</c:f>
              <c:multiLvlStrCache>
                <c:ptCount val="26"/>
                <c:lvl>
                  <c:pt idx="0">
                    <c:v>34.5/13.8</c:v>
                  </c:pt>
                  <c:pt idx="1">
                    <c:v>34.5/13.8</c:v>
                  </c:pt>
                  <c:pt idx="2">
                    <c:v>115/13.8</c:v>
                  </c:pt>
                  <c:pt idx="3">
                    <c:v>115/34.5</c:v>
                  </c:pt>
                  <c:pt idx="4">
                    <c:v>115/13.8</c:v>
                  </c:pt>
                  <c:pt idx="5">
                    <c:v>115/13.8</c:v>
                  </c:pt>
                  <c:pt idx="6">
                    <c:v>115/13.8</c:v>
                  </c:pt>
                  <c:pt idx="7">
                    <c:v>115/34.5</c:v>
                  </c:pt>
                  <c:pt idx="8">
                    <c:v>115/34.5</c:v>
                  </c:pt>
                  <c:pt idx="9">
                    <c:v>115/13.8</c:v>
                  </c:pt>
                  <c:pt idx="10">
                    <c:v>115/34.6</c:v>
                  </c:pt>
                  <c:pt idx="11">
                    <c:v>115/13.8</c:v>
                  </c:pt>
                  <c:pt idx="12">
                    <c:v>115/13.8</c:v>
                  </c:pt>
                  <c:pt idx="13">
                    <c:v>115/13.8</c:v>
                  </c:pt>
                  <c:pt idx="14">
                    <c:v>115/13.8</c:v>
                  </c:pt>
                  <c:pt idx="15">
                    <c:v>115/34.5</c:v>
                  </c:pt>
                  <c:pt idx="16">
                    <c:v>115/34.5</c:v>
                  </c:pt>
                  <c:pt idx="17">
                    <c:v>115/34.5</c:v>
                  </c:pt>
                  <c:pt idx="18">
                    <c:v>34.5/13.8</c:v>
                  </c:pt>
                  <c:pt idx="19">
                    <c:v>34.5/13.8</c:v>
                  </c:pt>
                  <c:pt idx="20">
                    <c:v>115/34.5</c:v>
                  </c:pt>
                  <c:pt idx="21">
                    <c:v>115/13.8</c:v>
                  </c:pt>
                  <c:pt idx="22">
                    <c:v>115/13.8</c:v>
                  </c:pt>
                  <c:pt idx="23">
                    <c:v>115/34.5</c:v>
                  </c:pt>
                  <c:pt idx="24">
                    <c:v>115/34.5</c:v>
                  </c:pt>
                  <c:pt idx="25">
                    <c:v>115/34.5</c:v>
                  </c:pt>
                </c:lvl>
                <c:lvl>
                  <c:pt idx="0">
                    <c:v>HPN-T1</c:v>
                  </c:pt>
                  <c:pt idx="1">
                    <c:v>CDA-T1</c:v>
                  </c:pt>
                  <c:pt idx="2">
                    <c:v>AKI-T1</c:v>
                  </c:pt>
                  <c:pt idx="3">
                    <c:v>SHC-T1</c:v>
                  </c:pt>
                  <c:pt idx="4">
                    <c:v>SAD-T1</c:v>
                  </c:pt>
                  <c:pt idx="5">
                    <c:v>KAL-T1</c:v>
                  </c:pt>
                  <c:pt idx="6">
                    <c:v>KAL-T2</c:v>
                  </c:pt>
                  <c:pt idx="7">
                    <c:v>CMO-T1</c:v>
                  </c:pt>
                  <c:pt idx="8">
                    <c:v>HOP-T1</c:v>
                  </c:pt>
                  <c:pt idx="9">
                    <c:v>CKD-T1</c:v>
                  </c:pt>
                  <c:pt idx="10">
                    <c:v>CAS-T1</c:v>
                  </c:pt>
                  <c:pt idx="11">
                    <c:v>CMO-T2</c:v>
                  </c:pt>
                  <c:pt idx="12">
                    <c:v>SAM-T1</c:v>
                  </c:pt>
                  <c:pt idx="13">
                    <c:v>SAM-T2</c:v>
                  </c:pt>
                  <c:pt idx="14">
                    <c:v>ESA-T3</c:v>
                  </c:pt>
                  <c:pt idx="15">
                    <c:v>CBU-T1</c:v>
                  </c:pt>
                  <c:pt idx="16">
                    <c:v>ESA-T2</c:v>
                  </c:pt>
                  <c:pt idx="17">
                    <c:v>CYL-T1</c:v>
                  </c:pt>
                  <c:pt idx="18">
                    <c:v>SBP-T1</c:v>
                  </c:pt>
                  <c:pt idx="19">
                    <c:v>SAU-T1</c:v>
                  </c:pt>
                  <c:pt idx="20">
                    <c:v>CYL-T2</c:v>
                  </c:pt>
                  <c:pt idx="21">
                    <c:v>HCE-T1</c:v>
                  </c:pt>
                  <c:pt idx="22">
                    <c:v>LRA-T5</c:v>
                  </c:pt>
                  <c:pt idx="23">
                    <c:v>XPU-T1</c:v>
                  </c:pt>
                  <c:pt idx="24">
                    <c:v>SAM-T3</c:v>
                  </c:pt>
                  <c:pt idx="25">
                    <c:v>SBY-T1</c:v>
                  </c:pt>
                </c:lvl>
              </c:multiLvlStrCache>
            </c:multiLvlStrRef>
          </c:cat>
          <c:val>
            <c:numRef>
              <c:f>'Resumen de Demandas Bancos'!$X$7:$X$32</c:f>
              <c:numCache>
                <c:formatCode>_-* #,##0.0_-;\-* #,##0.0_-;_-* "-"??_-;_-@_-</c:formatCode>
                <c:ptCount val="26"/>
                <c:pt idx="0">
                  <c:v>8.9</c:v>
                </c:pt>
                <c:pt idx="1">
                  <c:v>8.9</c:v>
                </c:pt>
                <c:pt idx="2">
                  <c:v>19</c:v>
                </c:pt>
                <c:pt idx="3">
                  <c:v>4.8</c:v>
                </c:pt>
                <c:pt idx="4">
                  <c:v>28.5</c:v>
                </c:pt>
                <c:pt idx="5">
                  <c:v>19</c:v>
                </c:pt>
                <c:pt idx="6">
                  <c:v>19</c:v>
                </c:pt>
                <c:pt idx="7">
                  <c:v>19</c:v>
                </c:pt>
                <c:pt idx="8">
                  <c:v>19</c:v>
                </c:pt>
                <c:pt idx="9">
                  <c:v>19</c:v>
                </c:pt>
                <c:pt idx="10">
                  <c:v>19</c:v>
                </c:pt>
                <c:pt idx="11">
                  <c:v>19</c:v>
                </c:pt>
                <c:pt idx="12">
                  <c:v>28.5</c:v>
                </c:pt>
                <c:pt idx="13">
                  <c:v>28.5</c:v>
                </c:pt>
                <c:pt idx="14">
                  <c:v>19</c:v>
                </c:pt>
                <c:pt idx="15">
                  <c:v>8.9</c:v>
                </c:pt>
                <c:pt idx="16">
                  <c:v>19</c:v>
                </c:pt>
                <c:pt idx="17">
                  <c:v>19</c:v>
                </c:pt>
                <c:pt idx="18">
                  <c:v>8.9</c:v>
                </c:pt>
                <c:pt idx="19">
                  <c:v>5.9</c:v>
                </c:pt>
                <c:pt idx="20">
                  <c:v>19</c:v>
                </c:pt>
                <c:pt idx="21">
                  <c:v>19</c:v>
                </c:pt>
                <c:pt idx="22">
                  <c:v>11.9</c:v>
                </c:pt>
                <c:pt idx="23">
                  <c:v>19</c:v>
                </c:pt>
                <c:pt idx="24">
                  <c:v>19</c:v>
                </c:pt>
                <c:pt idx="25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07-43CC-A456-F7A0D6885B79}"/>
            </c:ext>
          </c:extLst>
        </c:ser>
        <c:ser>
          <c:idx val="3"/>
          <c:order val="1"/>
          <c:tx>
            <c:strRef>
              <c:f>'Resumen de Demandas Bancos'!$Y$4:$Y$6</c:f>
              <c:strCache>
                <c:ptCount val="3"/>
                <c:pt idx="0">
                  <c:v>Demanda Feb 2021 (MW)</c:v>
                </c:pt>
              </c:strCache>
            </c:strRef>
          </c:tx>
          <c:invertIfNegative val="0"/>
          <c:val>
            <c:numRef>
              <c:f>'Resumen de Demandas Bancos'!$Y$7:$Y$32</c:f>
              <c:numCache>
                <c:formatCode>_-* #,##0.0_-;\-* #,##0.0_-;_-* "-"??_-;_-@_-</c:formatCode>
                <c:ptCount val="26"/>
                <c:pt idx="0">
                  <c:v>6.665</c:v>
                </c:pt>
                <c:pt idx="1">
                  <c:v>5.859</c:v>
                </c:pt>
                <c:pt idx="2">
                  <c:v>12.878</c:v>
                </c:pt>
                <c:pt idx="3">
                  <c:v>3.0150000000000001</c:v>
                </c:pt>
                <c:pt idx="4">
                  <c:v>16.786000000000001</c:v>
                </c:pt>
                <c:pt idx="5">
                  <c:v>10.63</c:v>
                </c:pt>
                <c:pt idx="6">
                  <c:v>9.2479999999999993</c:v>
                </c:pt>
                <c:pt idx="7">
                  <c:v>7.2389999999999999</c:v>
                </c:pt>
                <c:pt idx="8">
                  <c:v>7.7560000000000002</c:v>
                </c:pt>
                <c:pt idx="9">
                  <c:v>8.7579999999999991</c:v>
                </c:pt>
                <c:pt idx="10">
                  <c:v>7.2530000000000001</c:v>
                </c:pt>
                <c:pt idx="11">
                  <c:v>7.718</c:v>
                </c:pt>
                <c:pt idx="12">
                  <c:v>11.036</c:v>
                </c:pt>
                <c:pt idx="13">
                  <c:v>11.416</c:v>
                </c:pt>
                <c:pt idx="14">
                  <c:v>7.6130000000000004</c:v>
                </c:pt>
                <c:pt idx="15">
                  <c:v>3.399</c:v>
                </c:pt>
                <c:pt idx="16">
                  <c:v>5.9960000000000004</c:v>
                </c:pt>
                <c:pt idx="17">
                  <c:v>5.5890000000000004</c:v>
                </c:pt>
                <c:pt idx="18">
                  <c:v>2.827</c:v>
                </c:pt>
                <c:pt idx="19">
                  <c:v>1.7889999999999999</c:v>
                </c:pt>
                <c:pt idx="20">
                  <c:v>4.8739999999999997</c:v>
                </c:pt>
                <c:pt idx="21">
                  <c:v>4.9560000000000004</c:v>
                </c:pt>
                <c:pt idx="22">
                  <c:v>3</c:v>
                </c:pt>
                <c:pt idx="23">
                  <c:v>4.87</c:v>
                </c:pt>
                <c:pt idx="24">
                  <c:v>3.2909999999999999</c:v>
                </c:pt>
                <c:pt idx="25">
                  <c:v>3.13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F07-43CC-A456-F7A0D6885B79}"/>
            </c:ext>
          </c:extLst>
        </c:ser>
        <c:ser>
          <c:idx val="2"/>
          <c:order val="2"/>
          <c:tx>
            <c:strRef>
              <c:f>'Resumen de Demandas Bancos'!$Z$4:$Z$6</c:f>
              <c:strCache>
                <c:ptCount val="3"/>
                <c:pt idx="0">
                  <c:v>Demanda Feb 2022 (MW)</c:v>
                </c:pt>
              </c:strCache>
            </c:strRef>
          </c:tx>
          <c:spPr>
            <a:solidFill>
              <a:srgbClr val="9BBB59"/>
            </a:solidFill>
            <a:ln w="25400">
              <a:noFill/>
            </a:ln>
          </c:spPr>
          <c:invertIfNegative val="0"/>
          <c:cat>
            <c:multiLvlStrRef>
              <c:f>'Resumen de Demandas Bancos'!$V$7:$W$32</c:f>
              <c:multiLvlStrCache>
                <c:ptCount val="26"/>
                <c:lvl>
                  <c:pt idx="0">
                    <c:v>34.5/13.8</c:v>
                  </c:pt>
                  <c:pt idx="1">
                    <c:v>34.5/13.8</c:v>
                  </c:pt>
                  <c:pt idx="2">
                    <c:v>115/13.8</c:v>
                  </c:pt>
                  <c:pt idx="3">
                    <c:v>115/34.5</c:v>
                  </c:pt>
                  <c:pt idx="4">
                    <c:v>115/13.8</c:v>
                  </c:pt>
                  <c:pt idx="5">
                    <c:v>115/13.8</c:v>
                  </c:pt>
                  <c:pt idx="6">
                    <c:v>115/13.8</c:v>
                  </c:pt>
                  <c:pt idx="7">
                    <c:v>115/34.5</c:v>
                  </c:pt>
                  <c:pt idx="8">
                    <c:v>115/34.5</c:v>
                  </c:pt>
                  <c:pt idx="9">
                    <c:v>115/13.8</c:v>
                  </c:pt>
                  <c:pt idx="10">
                    <c:v>115/34.6</c:v>
                  </c:pt>
                  <c:pt idx="11">
                    <c:v>115/13.8</c:v>
                  </c:pt>
                  <c:pt idx="12">
                    <c:v>115/13.8</c:v>
                  </c:pt>
                  <c:pt idx="13">
                    <c:v>115/13.8</c:v>
                  </c:pt>
                  <c:pt idx="14">
                    <c:v>115/13.8</c:v>
                  </c:pt>
                  <c:pt idx="15">
                    <c:v>115/34.5</c:v>
                  </c:pt>
                  <c:pt idx="16">
                    <c:v>115/34.5</c:v>
                  </c:pt>
                  <c:pt idx="17">
                    <c:v>115/34.5</c:v>
                  </c:pt>
                  <c:pt idx="18">
                    <c:v>34.5/13.8</c:v>
                  </c:pt>
                  <c:pt idx="19">
                    <c:v>34.5/13.8</c:v>
                  </c:pt>
                  <c:pt idx="20">
                    <c:v>115/34.5</c:v>
                  </c:pt>
                  <c:pt idx="21">
                    <c:v>115/13.8</c:v>
                  </c:pt>
                  <c:pt idx="22">
                    <c:v>115/13.8</c:v>
                  </c:pt>
                  <c:pt idx="23">
                    <c:v>115/34.5</c:v>
                  </c:pt>
                  <c:pt idx="24">
                    <c:v>115/34.5</c:v>
                  </c:pt>
                  <c:pt idx="25">
                    <c:v>115/34.5</c:v>
                  </c:pt>
                </c:lvl>
                <c:lvl>
                  <c:pt idx="0">
                    <c:v>HPN-T1</c:v>
                  </c:pt>
                  <c:pt idx="1">
                    <c:v>CDA-T1</c:v>
                  </c:pt>
                  <c:pt idx="2">
                    <c:v>AKI-T1</c:v>
                  </c:pt>
                  <c:pt idx="3">
                    <c:v>SHC-T1</c:v>
                  </c:pt>
                  <c:pt idx="4">
                    <c:v>SAD-T1</c:v>
                  </c:pt>
                  <c:pt idx="5">
                    <c:v>KAL-T1</c:v>
                  </c:pt>
                  <c:pt idx="6">
                    <c:v>KAL-T2</c:v>
                  </c:pt>
                  <c:pt idx="7">
                    <c:v>CMO-T1</c:v>
                  </c:pt>
                  <c:pt idx="8">
                    <c:v>HOP-T1</c:v>
                  </c:pt>
                  <c:pt idx="9">
                    <c:v>CKD-T1</c:v>
                  </c:pt>
                  <c:pt idx="10">
                    <c:v>CAS-T1</c:v>
                  </c:pt>
                  <c:pt idx="11">
                    <c:v>CMO-T2</c:v>
                  </c:pt>
                  <c:pt idx="12">
                    <c:v>SAM-T1</c:v>
                  </c:pt>
                  <c:pt idx="13">
                    <c:v>SAM-T2</c:v>
                  </c:pt>
                  <c:pt idx="14">
                    <c:v>ESA-T3</c:v>
                  </c:pt>
                  <c:pt idx="15">
                    <c:v>CBU-T1</c:v>
                  </c:pt>
                  <c:pt idx="16">
                    <c:v>ESA-T2</c:v>
                  </c:pt>
                  <c:pt idx="17">
                    <c:v>CYL-T1</c:v>
                  </c:pt>
                  <c:pt idx="18">
                    <c:v>SBP-T1</c:v>
                  </c:pt>
                  <c:pt idx="19">
                    <c:v>SAU-T1</c:v>
                  </c:pt>
                  <c:pt idx="20">
                    <c:v>CYL-T2</c:v>
                  </c:pt>
                  <c:pt idx="21">
                    <c:v>HCE-T1</c:v>
                  </c:pt>
                  <c:pt idx="22">
                    <c:v>LRA-T5</c:v>
                  </c:pt>
                  <c:pt idx="23">
                    <c:v>XPU-T1</c:v>
                  </c:pt>
                  <c:pt idx="24">
                    <c:v>SAM-T3</c:v>
                  </c:pt>
                  <c:pt idx="25">
                    <c:v>SBY-T1</c:v>
                  </c:pt>
                </c:lvl>
              </c:multiLvlStrCache>
            </c:multiLvlStrRef>
          </c:cat>
          <c:val>
            <c:numRef>
              <c:f>'Resumen de Demandas Bancos'!$Z$7:$Z$32</c:f>
              <c:numCache>
                <c:formatCode>_-* #,##0.0_-;\-* #,##0.0_-;_-* "-"??_-;_-@_-</c:formatCode>
                <c:ptCount val="26"/>
                <c:pt idx="0">
                  <c:v>6.9</c:v>
                </c:pt>
                <c:pt idx="1">
                  <c:v>6.8369999999999997</c:v>
                </c:pt>
                <c:pt idx="2">
                  <c:v>13.211</c:v>
                </c:pt>
                <c:pt idx="3">
                  <c:v>3.0590000000000002</c:v>
                </c:pt>
                <c:pt idx="4">
                  <c:v>17.989000000000001</c:v>
                </c:pt>
                <c:pt idx="5">
                  <c:v>11.343</c:v>
                </c:pt>
                <c:pt idx="6">
                  <c:v>9.4949999999999992</c:v>
                </c:pt>
                <c:pt idx="7">
                  <c:v>9.3919999999999995</c:v>
                </c:pt>
                <c:pt idx="8">
                  <c:v>9.0540000000000003</c:v>
                </c:pt>
                <c:pt idx="9">
                  <c:v>8.9849999999999994</c:v>
                </c:pt>
                <c:pt idx="10">
                  <c:v>8.3810000000000002</c:v>
                </c:pt>
                <c:pt idx="11">
                  <c:v>8.3101000000000003</c:v>
                </c:pt>
                <c:pt idx="12">
                  <c:v>12.057</c:v>
                </c:pt>
                <c:pt idx="13">
                  <c:v>12.006</c:v>
                </c:pt>
                <c:pt idx="14">
                  <c:v>7.9550000000000001</c:v>
                </c:pt>
                <c:pt idx="15">
                  <c:v>3.49</c:v>
                </c:pt>
                <c:pt idx="16">
                  <c:v>6.9710000000000001</c:v>
                </c:pt>
                <c:pt idx="17">
                  <c:v>6.7859999999999996</c:v>
                </c:pt>
                <c:pt idx="18">
                  <c:v>3.1219999999999999</c:v>
                </c:pt>
                <c:pt idx="19">
                  <c:v>1.7010000000000001</c:v>
                </c:pt>
                <c:pt idx="20">
                  <c:v>5.2789999999999999</c:v>
                </c:pt>
                <c:pt idx="21">
                  <c:v>5.19</c:v>
                </c:pt>
                <c:pt idx="22">
                  <c:v>3.2</c:v>
                </c:pt>
                <c:pt idx="23">
                  <c:v>4.3819999999999997</c:v>
                </c:pt>
                <c:pt idx="24">
                  <c:v>4.0739999999999998</c:v>
                </c:pt>
                <c:pt idx="25">
                  <c:v>3.1720000000000002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F07-43CC-A456-F7A0D6885B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74340815"/>
        <c:axId val="1"/>
      </c:barChart>
      <c:lineChart>
        <c:grouping val="standard"/>
        <c:varyColors val="0"/>
        <c:ser>
          <c:idx val="1"/>
          <c:order val="3"/>
          <c:tx>
            <c:strRef>
              <c:f>'Resumen de Demandas Bancos'!$AA$4:$AA$6</c:f>
              <c:strCache>
                <c:ptCount val="3"/>
                <c:pt idx="0">
                  <c:v>Porcentaje Utilizacion 2021</c:v>
                </c:pt>
              </c:strCache>
            </c:strRef>
          </c:tx>
          <c:marker>
            <c:symbol val="diamond"/>
            <c:size val="5"/>
          </c:marker>
          <c:cat>
            <c:multiLvlStrRef>
              <c:f>'Resumen de Demandas Bancos'!$V$4:$W$32</c:f>
              <c:multiLvlStrCache>
                <c:ptCount val="29"/>
                <c:lvl>
                  <c:pt idx="0">
                    <c:v>Relación de Voltaje (kV)</c:v>
                  </c:pt>
                  <c:pt idx="3">
                    <c:v>34.5/13.8</c:v>
                  </c:pt>
                  <c:pt idx="4">
                    <c:v>34.5/13.8</c:v>
                  </c:pt>
                  <c:pt idx="5">
                    <c:v>115/13.8</c:v>
                  </c:pt>
                  <c:pt idx="6">
                    <c:v>115/34.5</c:v>
                  </c:pt>
                  <c:pt idx="7">
                    <c:v>115/13.8</c:v>
                  </c:pt>
                  <c:pt idx="8">
                    <c:v>115/13.8</c:v>
                  </c:pt>
                  <c:pt idx="9">
                    <c:v>115/13.8</c:v>
                  </c:pt>
                  <c:pt idx="10">
                    <c:v>115/34.5</c:v>
                  </c:pt>
                  <c:pt idx="11">
                    <c:v>115/34.5</c:v>
                  </c:pt>
                  <c:pt idx="12">
                    <c:v>115/13.8</c:v>
                  </c:pt>
                  <c:pt idx="13">
                    <c:v>115/34.6</c:v>
                  </c:pt>
                  <c:pt idx="14">
                    <c:v>115/13.8</c:v>
                  </c:pt>
                  <c:pt idx="15">
                    <c:v>115/13.8</c:v>
                  </c:pt>
                  <c:pt idx="16">
                    <c:v>115/13.8</c:v>
                  </c:pt>
                  <c:pt idx="17">
                    <c:v>115/13.8</c:v>
                  </c:pt>
                  <c:pt idx="18">
                    <c:v>115/34.5</c:v>
                  </c:pt>
                  <c:pt idx="19">
                    <c:v>115/34.5</c:v>
                  </c:pt>
                  <c:pt idx="20">
                    <c:v>115/34.5</c:v>
                  </c:pt>
                  <c:pt idx="21">
                    <c:v>34.5/13.8</c:v>
                  </c:pt>
                  <c:pt idx="22">
                    <c:v>34.5/13.8</c:v>
                  </c:pt>
                  <c:pt idx="23">
                    <c:v>115/34.5</c:v>
                  </c:pt>
                  <c:pt idx="24">
                    <c:v>115/13.8</c:v>
                  </c:pt>
                  <c:pt idx="25">
                    <c:v>115/13.8</c:v>
                  </c:pt>
                  <c:pt idx="26">
                    <c:v>115/34.5</c:v>
                  </c:pt>
                  <c:pt idx="27">
                    <c:v>115/34.5</c:v>
                  </c:pt>
                  <c:pt idx="28">
                    <c:v>115/34.5</c:v>
                  </c:pt>
                </c:lvl>
                <c:lvl>
                  <c:pt idx="0">
                    <c:v>Subestación</c:v>
                  </c:pt>
                  <c:pt idx="3">
                    <c:v>HPN-T1</c:v>
                  </c:pt>
                  <c:pt idx="4">
                    <c:v>CDA-T1</c:v>
                  </c:pt>
                  <c:pt idx="5">
                    <c:v>AKI-T1</c:v>
                  </c:pt>
                  <c:pt idx="6">
                    <c:v>SHC-T1</c:v>
                  </c:pt>
                  <c:pt idx="7">
                    <c:v>SAD-T1</c:v>
                  </c:pt>
                  <c:pt idx="8">
                    <c:v>KAL-T1</c:v>
                  </c:pt>
                  <c:pt idx="9">
                    <c:v>KAL-T2</c:v>
                  </c:pt>
                  <c:pt idx="10">
                    <c:v>CMO-T1</c:v>
                  </c:pt>
                  <c:pt idx="11">
                    <c:v>HOP-T1</c:v>
                  </c:pt>
                  <c:pt idx="12">
                    <c:v>CKD-T1</c:v>
                  </c:pt>
                  <c:pt idx="13">
                    <c:v>CAS-T1</c:v>
                  </c:pt>
                  <c:pt idx="14">
                    <c:v>CMO-T2</c:v>
                  </c:pt>
                  <c:pt idx="15">
                    <c:v>SAM-T1</c:v>
                  </c:pt>
                  <c:pt idx="16">
                    <c:v>SAM-T2</c:v>
                  </c:pt>
                  <c:pt idx="17">
                    <c:v>ESA-T3</c:v>
                  </c:pt>
                  <c:pt idx="18">
                    <c:v>CBU-T1</c:v>
                  </c:pt>
                  <c:pt idx="19">
                    <c:v>ESA-T2</c:v>
                  </c:pt>
                  <c:pt idx="20">
                    <c:v>CYL-T1</c:v>
                  </c:pt>
                  <c:pt idx="21">
                    <c:v>SBP-T1</c:v>
                  </c:pt>
                  <c:pt idx="22">
                    <c:v>SAU-T1</c:v>
                  </c:pt>
                  <c:pt idx="23">
                    <c:v>CYL-T2</c:v>
                  </c:pt>
                  <c:pt idx="24">
                    <c:v>HCE-T1</c:v>
                  </c:pt>
                  <c:pt idx="25">
                    <c:v>LRA-T5</c:v>
                  </c:pt>
                  <c:pt idx="26">
                    <c:v>XPU-T1</c:v>
                  </c:pt>
                  <c:pt idx="27">
                    <c:v>SAM-T3</c:v>
                  </c:pt>
                  <c:pt idx="28">
                    <c:v>SBY-T1</c:v>
                  </c:pt>
                </c:lvl>
              </c:multiLvlStrCache>
            </c:multiLvlStrRef>
          </c:cat>
          <c:val>
            <c:numRef>
              <c:f>'Resumen de Demandas Bancos'!$AA$7:$AA$32</c:f>
              <c:numCache>
                <c:formatCode>0%</c:formatCode>
                <c:ptCount val="26"/>
                <c:pt idx="0">
                  <c:v>0.74887640449438198</c:v>
                </c:pt>
                <c:pt idx="1">
                  <c:v>0.65831460674157305</c:v>
                </c:pt>
                <c:pt idx="2">
                  <c:v>0.6777894736842105</c:v>
                </c:pt>
                <c:pt idx="3">
                  <c:v>0.62812500000000004</c:v>
                </c:pt>
                <c:pt idx="4">
                  <c:v>0.58898245614035094</c:v>
                </c:pt>
                <c:pt idx="5">
                  <c:v>0.55947368421052635</c:v>
                </c:pt>
                <c:pt idx="6">
                  <c:v>0.48673684210526313</c:v>
                </c:pt>
                <c:pt idx="7">
                  <c:v>0.38100000000000001</c:v>
                </c:pt>
                <c:pt idx="8">
                  <c:v>0.40821052631578947</c:v>
                </c:pt>
                <c:pt idx="9">
                  <c:v>0.46094736842105261</c:v>
                </c:pt>
                <c:pt idx="10">
                  <c:v>0.38173684210526315</c:v>
                </c:pt>
                <c:pt idx="11">
                  <c:v>0.40621052631578947</c:v>
                </c:pt>
                <c:pt idx="12">
                  <c:v>0.38722807017543859</c:v>
                </c:pt>
                <c:pt idx="13">
                  <c:v>0.40056140350877195</c:v>
                </c:pt>
                <c:pt idx="14">
                  <c:v>0.40068421052631581</c:v>
                </c:pt>
                <c:pt idx="15">
                  <c:v>0.38191011235955052</c:v>
                </c:pt>
                <c:pt idx="16">
                  <c:v>0.31557894736842107</c:v>
                </c:pt>
                <c:pt idx="17">
                  <c:v>0.29415789473684212</c:v>
                </c:pt>
                <c:pt idx="18">
                  <c:v>0.31764044943820224</c:v>
                </c:pt>
                <c:pt idx="19">
                  <c:v>0.30322033898305084</c:v>
                </c:pt>
                <c:pt idx="20">
                  <c:v>0.25652631578947366</c:v>
                </c:pt>
                <c:pt idx="21">
                  <c:v>0.26084210526315793</c:v>
                </c:pt>
                <c:pt idx="22">
                  <c:v>0.25210084033613445</c:v>
                </c:pt>
                <c:pt idx="23">
                  <c:v>0.25631578947368422</c:v>
                </c:pt>
                <c:pt idx="24">
                  <c:v>0.17321052631578948</c:v>
                </c:pt>
                <c:pt idx="25">
                  <c:v>0.16473684210526315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F07-43CC-A456-F7A0D6885B79}"/>
            </c:ext>
          </c:extLst>
        </c:ser>
        <c:ser>
          <c:idx val="4"/>
          <c:order val="4"/>
          <c:tx>
            <c:strRef>
              <c:f>'Resumen de Demandas Bancos'!$AB$4:$AB$6</c:f>
              <c:strCache>
                <c:ptCount val="3"/>
                <c:pt idx="0">
                  <c:v>Porcentaje Utilizacion 2022</c:v>
                </c:pt>
              </c:strCache>
            </c:strRef>
          </c:tx>
          <c:marker>
            <c:symbol val="diamond"/>
            <c:size val="5"/>
          </c:marker>
          <c:cat>
            <c:multiLvlStrRef>
              <c:f>'Resumen de Demandas Bancos'!$V$4:$W$32</c:f>
              <c:multiLvlStrCache>
                <c:ptCount val="29"/>
                <c:lvl>
                  <c:pt idx="0">
                    <c:v>Relación de Voltaje (kV)</c:v>
                  </c:pt>
                  <c:pt idx="3">
                    <c:v>34.5/13.8</c:v>
                  </c:pt>
                  <c:pt idx="4">
                    <c:v>34.5/13.8</c:v>
                  </c:pt>
                  <c:pt idx="5">
                    <c:v>115/13.8</c:v>
                  </c:pt>
                  <c:pt idx="6">
                    <c:v>115/34.5</c:v>
                  </c:pt>
                  <c:pt idx="7">
                    <c:v>115/13.8</c:v>
                  </c:pt>
                  <c:pt idx="8">
                    <c:v>115/13.8</c:v>
                  </c:pt>
                  <c:pt idx="9">
                    <c:v>115/13.8</c:v>
                  </c:pt>
                  <c:pt idx="10">
                    <c:v>115/34.5</c:v>
                  </c:pt>
                  <c:pt idx="11">
                    <c:v>115/34.5</c:v>
                  </c:pt>
                  <c:pt idx="12">
                    <c:v>115/13.8</c:v>
                  </c:pt>
                  <c:pt idx="13">
                    <c:v>115/34.6</c:v>
                  </c:pt>
                  <c:pt idx="14">
                    <c:v>115/13.8</c:v>
                  </c:pt>
                  <c:pt idx="15">
                    <c:v>115/13.8</c:v>
                  </c:pt>
                  <c:pt idx="16">
                    <c:v>115/13.8</c:v>
                  </c:pt>
                  <c:pt idx="17">
                    <c:v>115/13.8</c:v>
                  </c:pt>
                  <c:pt idx="18">
                    <c:v>115/34.5</c:v>
                  </c:pt>
                  <c:pt idx="19">
                    <c:v>115/34.5</c:v>
                  </c:pt>
                  <c:pt idx="20">
                    <c:v>115/34.5</c:v>
                  </c:pt>
                  <c:pt idx="21">
                    <c:v>34.5/13.8</c:v>
                  </c:pt>
                  <c:pt idx="22">
                    <c:v>34.5/13.8</c:v>
                  </c:pt>
                  <c:pt idx="23">
                    <c:v>115/34.5</c:v>
                  </c:pt>
                  <c:pt idx="24">
                    <c:v>115/13.8</c:v>
                  </c:pt>
                  <c:pt idx="25">
                    <c:v>115/13.8</c:v>
                  </c:pt>
                  <c:pt idx="26">
                    <c:v>115/34.5</c:v>
                  </c:pt>
                  <c:pt idx="27">
                    <c:v>115/34.5</c:v>
                  </c:pt>
                  <c:pt idx="28">
                    <c:v>115/34.5</c:v>
                  </c:pt>
                </c:lvl>
                <c:lvl>
                  <c:pt idx="0">
                    <c:v>Subestación</c:v>
                  </c:pt>
                  <c:pt idx="3">
                    <c:v>HPN-T1</c:v>
                  </c:pt>
                  <c:pt idx="4">
                    <c:v>CDA-T1</c:v>
                  </c:pt>
                  <c:pt idx="5">
                    <c:v>AKI-T1</c:v>
                  </c:pt>
                  <c:pt idx="6">
                    <c:v>SHC-T1</c:v>
                  </c:pt>
                  <c:pt idx="7">
                    <c:v>SAD-T1</c:v>
                  </c:pt>
                  <c:pt idx="8">
                    <c:v>KAL-T1</c:v>
                  </c:pt>
                  <c:pt idx="9">
                    <c:v>KAL-T2</c:v>
                  </c:pt>
                  <c:pt idx="10">
                    <c:v>CMO-T1</c:v>
                  </c:pt>
                  <c:pt idx="11">
                    <c:v>HOP-T1</c:v>
                  </c:pt>
                  <c:pt idx="12">
                    <c:v>CKD-T1</c:v>
                  </c:pt>
                  <c:pt idx="13">
                    <c:v>CAS-T1</c:v>
                  </c:pt>
                  <c:pt idx="14">
                    <c:v>CMO-T2</c:v>
                  </c:pt>
                  <c:pt idx="15">
                    <c:v>SAM-T1</c:v>
                  </c:pt>
                  <c:pt idx="16">
                    <c:v>SAM-T2</c:v>
                  </c:pt>
                  <c:pt idx="17">
                    <c:v>ESA-T3</c:v>
                  </c:pt>
                  <c:pt idx="18">
                    <c:v>CBU-T1</c:v>
                  </c:pt>
                  <c:pt idx="19">
                    <c:v>ESA-T2</c:v>
                  </c:pt>
                  <c:pt idx="20">
                    <c:v>CYL-T1</c:v>
                  </c:pt>
                  <c:pt idx="21">
                    <c:v>SBP-T1</c:v>
                  </c:pt>
                  <c:pt idx="22">
                    <c:v>SAU-T1</c:v>
                  </c:pt>
                  <c:pt idx="23">
                    <c:v>CYL-T2</c:v>
                  </c:pt>
                  <c:pt idx="24">
                    <c:v>HCE-T1</c:v>
                  </c:pt>
                  <c:pt idx="25">
                    <c:v>LRA-T5</c:v>
                  </c:pt>
                  <c:pt idx="26">
                    <c:v>XPU-T1</c:v>
                  </c:pt>
                  <c:pt idx="27">
                    <c:v>SAM-T3</c:v>
                  </c:pt>
                  <c:pt idx="28">
                    <c:v>SBY-T1</c:v>
                  </c:pt>
                </c:lvl>
              </c:multiLvlStrCache>
            </c:multiLvlStrRef>
          </c:cat>
          <c:val>
            <c:numRef>
              <c:f>'Resumen de Demandas Bancos'!$AB$7:$AB$32</c:f>
              <c:numCache>
                <c:formatCode>0%</c:formatCode>
                <c:ptCount val="26"/>
                <c:pt idx="0">
                  <c:v>0.7752808988764045</c:v>
                </c:pt>
                <c:pt idx="1">
                  <c:v>0.76820224719101116</c:v>
                </c:pt>
                <c:pt idx="2">
                  <c:v>0.69531578947368422</c:v>
                </c:pt>
                <c:pt idx="3">
                  <c:v>0.6372916666666667</c:v>
                </c:pt>
                <c:pt idx="4">
                  <c:v>0.63119298245614042</c:v>
                </c:pt>
                <c:pt idx="5">
                  <c:v>0.59699999999999998</c:v>
                </c:pt>
                <c:pt idx="6">
                  <c:v>0.49973684210526309</c:v>
                </c:pt>
                <c:pt idx="7">
                  <c:v>0.49431578947368421</c:v>
                </c:pt>
                <c:pt idx="8">
                  <c:v>0.47652631578947369</c:v>
                </c:pt>
                <c:pt idx="9">
                  <c:v>0.47289473684210526</c:v>
                </c:pt>
                <c:pt idx="10">
                  <c:v>0.44110526315789472</c:v>
                </c:pt>
                <c:pt idx="11">
                  <c:v>0.4373736842105263</c:v>
                </c:pt>
                <c:pt idx="12">
                  <c:v>0.4230526315789474</c:v>
                </c:pt>
                <c:pt idx="13">
                  <c:v>0.42126315789473684</c:v>
                </c:pt>
                <c:pt idx="14">
                  <c:v>0.41868421052631577</c:v>
                </c:pt>
                <c:pt idx="15">
                  <c:v>0.39213483146067418</c:v>
                </c:pt>
                <c:pt idx="16">
                  <c:v>0.36689473684210527</c:v>
                </c:pt>
                <c:pt idx="17">
                  <c:v>0.35715789473684206</c:v>
                </c:pt>
                <c:pt idx="18">
                  <c:v>0.35078651685393258</c:v>
                </c:pt>
                <c:pt idx="19">
                  <c:v>0.28830508474576272</c:v>
                </c:pt>
                <c:pt idx="20">
                  <c:v>0.27784210526315789</c:v>
                </c:pt>
                <c:pt idx="21">
                  <c:v>0.2731578947368421</c:v>
                </c:pt>
                <c:pt idx="22">
                  <c:v>0.26890756302521007</c:v>
                </c:pt>
                <c:pt idx="23">
                  <c:v>0.23063157894736841</c:v>
                </c:pt>
                <c:pt idx="24">
                  <c:v>0.21442105263157893</c:v>
                </c:pt>
                <c:pt idx="25">
                  <c:v>0.16694736842105265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F07-43CC-A456-F7A0D6885B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"/>
        <c:axId val="4"/>
      </c:lineChart>
      <c:catAx>
        <c:axId val="474340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/>
        <c:numFmt formatCode="_-* #,##0.0_-;\-* #,##0.0_-;_-* &quot;-&quot;??_-;_-@_-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40815"/>
        <c:crosses val="autoZero"/>
        <c:crossBetween val="between"/>
        <c:majorUnit val="2"/>
        <c:minorUnit val="1"/>
      </c:valAx>
      <c:catAx>
        <c:axId val="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4"/>
        <c:crosses val="autoZero"/>
        <c:auto val="1"/>
        <c:lblAlgn val="ctr"/>
        <c:lblOffset val="100"/>
        <c:noMultiLvlLbl val="0"/>
      </c:catAx>
      <c:valAx>
        <c:axId val="4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3"/>
        <c:crosses val="max"/>
        <c:crossBetween val="between"/>
        <c:majorUnit val="4.0000000000000008E-2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14682990340257621"/>
          <c:y val="0.95029224214101726"/>
          <c:w val="0.70306390683305642"/>
          <c:h val="3.4032504539485475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accent3">
        <a:lumMod val="20000"/>
        <a:lumOff val="80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Sabancuy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SABANCUY'!$A$12</c:f>
              <c:strCache>
                <c:ptCount val="1"/>
                <c:pt idx="0">
                  <c:v>SBY05010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SABANCUY'!$B$13:$N$13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1949.6350090000001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A2A-460D-993A-CF25F90A5CBF}"/>
            </c:ext>
          </c:extLst>
        </c:ser>
        <c:ser>
          <c:idx val="1"/>
          <c:order val="1"/>
          <c:tx>
            <c:strRef>
              <c:f>'S.E SABANCUY'!$A$19</c:f>
              <c:strCache>
                <c:ptCount val="1"/>
                <c:pt idx="0">
                  <c:v>SBY05020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SABANCUY'!$B$20:$N$20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1923.101684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A2A-460D-993A-CF25F90A5C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13375"/>
        <c:axId val="1"/>
      </c:lineChart>
      <c:dateAx>
        <c:axId val="467013375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13375"/>
        <c:crosses val="autoZero"/>
        <c:crossBetween val="between"/>
        <c:majorUnit val="10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0994622108178747"/>
          <c:y val="0.95093541893218947"/>
          <c:w val="0.16901941845686716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SABANCUY'!$A$31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SABANCUY'!$B$32:$N$32</c:f>
              <c:numCache>
                <c:formatCode>0.000000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3879.9216710000001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1A4-418C-B450-42041B1CBB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9301455"/>
        <c:axId val="1"/>
      </c:lineChart>
      <c:dateAx>
        <c:axId val="4693014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ajorUnit val="1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0.00000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9301455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671269663261632"/>
          <c:y val="0.75441325127119518"/>
          <c:w val="7.7722582084967115E-2"/>
          <c:h val="0.14035595372487356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Hopelchen Dos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HOPELCHEN DOS'!$A$12</c:f>
              <c:strCache>
                <c:ptCount val="1"/>
                <c:pt idx="0">
                  <c:v>HOP53015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AHKIMPECH'!$C$13:$N$13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4321.7417800000003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2E-4B51-9895-D62A7701D2F4}"/>
            </c:ext>
          </c:extLst>
        </c:ser>
        <c:ser>
          <c:idx val="1"/>
          <c:order val="1"/>
          <c:tx>
            <c:strRef>
              <c:f>'S.E HOPELCHEN DOS'!$A$19</c:f>
              <c:strCache>
                <c:ptCount val="1"/>
                <c:pt idx="0">
                  <c:v>HOP5325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HOPELCHEN DOS'!$B$20:$N$20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2E-4B51-9895-D62A7701D2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09631"/>
        <c:axId val="1"/>
      </c:lineChart>
      <c:dateAx>
        <c:axId val="467009631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09631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1142884755947923"/>
          <c:y val="0.95093541893218947"/>
          <c:w val="0.17050204493455901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HOPELCHEN DOS'!$A$31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HOPELCHEN DOS'!$B$32:$N$32</c:f>
              <c:numCache>
                <c:formatCode>0.000000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8567.9300129999992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414-474D-B8FB-84A944593B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23775"/>
        <c:axId val="1"/>
      </c:lineChart>
      <c:dateAx>
        <c:axId val="4670237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ajorUnit val="1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0.00000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23775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97248156514048"/>
          <c:y val="0.75441325127119518"/>
          <c:w val="7.7722582084967115E-2"/>
          <c:h val="0.14035595372487356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Candelaria Dos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CANDELARIA DOS'!$A$12</c:f>
              <c:strCache>
                <c:ptCount val="1"/>
                <c:pt idx="0">
                  <c:v>CAS53015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CANDELARIA DOS'!$B$13:$N$13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8633.9152009999998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D81-4E9B-A5F1-78FE9AEE4015}"/>
            </c:ext>
          </c:extLst>
        </c:ser>
        <c:ser>
          <c:idx val="1"/>
          <c:order val="1"/>
          <c:tx>
            <c:strRef>
              <c:f>'S.E CANDELARIA DOS'!$A$19</c:f>
              <c:strCache>
                <c:ptCount val="1"/>
                <c:pt idx="0">
                  <c:v>CAS53025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CANDELARIA DOS'!$B$20:$N$20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1891.245015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D81-4E9B-A5F1-78FE9AEE40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4347055"/>
        <c:axId val="1"/>
      </c:lineChart>
      <c:dateAx>
        <c:axId val="474347055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47055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0772228136524979"/>
          <c:y val="0.95222745075139081"/>
          <c:w val="0.17643255084532627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CANDELARIA DOS'!$A$31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CANDELARIA DOS'!$B$32:$N$32</c:f>
              <c:numCache>
                <c:formatCode>0.000000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10523.166503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CBA-44F6-823A-DAE256ADE2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9762191"/>
        <c:axId val="1"/>
      </c:lineChart>
      <c:dateAx>
        <c:axId val="4697621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ajorUnit val="1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0.00000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9762191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97248156514048"/>
          <c:y val="0.75441325127119518"/>
          <c:w val="7.7722582084967115E-2"/>
          <c:h val="0.14035595372487356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Sihochac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'SE. SIHOCHAC'!$A$12</c:f>
              <c:strCache>
                <c:ptCount val="1"/>
                <c:pt idx="0">
                  <c:v>SHC5010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SIHOCHAC'!$B$13:$N$13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587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898-447A-86E1-10EB243032F5}"/>
            </c:ext>
          </c:extLst>
        </c:ser>
        <c:ser>
          <c:idx val="1"/>
          <c:order val="1"/>
          <c:tx>
            <c:strRef>
              <c:f>'SE. SIHOCHAC'!$A$19</c:f>
              <c:strCache>
                <c:ptCount val="1"/>
                <c:pt idx="0">
                  <c:v>SHC5020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SIHOCHAC'!$B$20:$N$20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153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898-447A-86E1-10EB243032F5}"/>
            </c:ext>
          </c:extLst>
        </c:ser>
        <c:ser>
          <c:idx val="2"/>
          <c:order val="2"/>
          <c:tx>
            <c:strRef>
              <c:f>'SE. SIHOCHAC'!$A$49</c:f>
              <c:strCache>
                <c:ptCount val="1"/>
                <c:pt idx="0">
                  <c:v>SHC4210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SIHOCHAC'!$B$50:$N$50</c:f>
              <c:numCache>
                <c:formatCode>#,##0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2718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898-447A-86E1-10EB243032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716991"/>
        <c:axId val="1"/>
      </c:lineChart>
      <c:dateAx>
        <c:axId val="609716991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609716991"/>
        <c:crosses val="autoZero"/>
        <c:crossBetween val="between"/>
        <c:majorUnit val="1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36831488259357964"/>
          <c:y val="0.95222745075139081"/>
          <c:w val="0.2589365235203348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'SE. SIHOCHAC'!$A$37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SIHOCHAC'!$B$38:$N$38</c:f>
              <c:numCache>
                <c:formatCode>_-* #,##0_-;\-* #,##0_-;_-* "-"??_-;_-@_-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3064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E4-4965-9662-A82DB030D7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712415"/>
        <c:axId val="1"/>
      </c:lineChart>
      <c:dateAx>
        <c:axId val="6097124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_-* #,##0_-;\-* #,##0_-;_-* &quot;-&quot;??_-;_-@_-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609712415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43762536813864"/>
          <c:y val="0.94895402181897814"/>
          <c:w val="7.8011338766157526E-2"/>
          <c:h val="3.225906023180662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Xpujil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XPUJIL'!$A$12</c:f>
              <c:strCache>
                <c:ptCount val="1"/>
                <c:pt idx="0">
                  <c:v>XPU05010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XPUJIL'!$B$13:$N$13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7C-43E1-9A0A-84C9AA719F09}"/>
            </c:ext>
          </c:extLst>
        </c:ser>
        <c:ser>
          <c:idx val="1"/>
          <c:order val="1"/>
          <c:tx>
            <c:strRef>
              <c:f>'S.E XPUJIL'!$A$19</c:f>
              <c:strCache>
                <c:ptCount val="1"/>
                <c:pt idx="0">
                  <c:v>XPU05020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XPUJIL'!$B$20:$N$20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7C-43E1-9A0A-84C9AA719F09}"/>
            </c:ext>
          </c:extLst>
        </c:ser>
        <c:ser>
          <c:idx val="2"/>
          <c:order val="2"/>
          <c:tx>
            <c:strRef>
              <c:f>'S.E XPUJIL'!$A$26</c:f>
              <c:strCache>
                <c:ptCount val="1"/>
                <c:pt idx="0">
                  <c:v>XPU05030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XPUJIL'!$B$27:$N$27</c:f>
              <c:numCache>
                <c:formatCode>_-* #,##0_-;\-* #,##0_-;_-* "-"??_-;_-@_-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7C-43E1-9A0A-84C9AA719F09}"/>
            </c:ext>
          </c:extLst>
        </c:ser>
        <c:ser>
          <c:idx val="3"/>
          <c:order val="3"/>
          <c:tx>
            <c:strRef>
              <c:f>'S.E XPUJIL'!$A$33</c:f>
              <c:strCache>
                <c:ptCount val="1"/>
                <c:pt idx="0">
                  <c:v>XPU05040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XPUJIL'!$B$34:$N$34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A7C-43E1-9A0A-84C9AA719F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706175"/>
        <c:axId val="1"/>
      </c:lineChart>
      <c:dateAx>
        <c:axId val="609706175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609706175"/>
        <c:crosses val="autoZero"/>
        <c:crossBetween val="between"/>
        <c:majorUnit val="1474.49946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32543651185335387"/>
          <c:y val="0.94964338711298801"/>
          <c:w val="0.34693459577988528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XPUJIL'!$A$45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XPUJIL'!$B$46:$N$46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5483.3316240000004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DE8-4202-A158-71E82165CE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716159"/>
        <c:axId val="1"/>
      </c:lineChart>
      <c:dateAx>
        <c:axId val="60971615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609716159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23226649766452"/>
          <c:y val="0.92278396105047911"/>
          <c:w val="7.7722582084967115E-2"/>
          <c:h val="5.0105916437130089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'Comportamiento Grafico SE`S'!$C$9</c:f>
              <c:strCache>
                <c:ptCount val="1"/>
                <c:pt idx="0">
                  <c:v>ene-21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SE`S'!$C$10:$C$25</c:f>
              <c:numCache>
                <c:formatCode>#,##0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8A-46CC-ACBD-BAF38139030A}"/>
            </c:ext>
          </c:extLst>
        </c:ser>
        <c:ser>
          <c:idx val="1"/>
          <c:order val="1"/>
          <c:tx>
            <c:strRef>
              <c:f>'Comportamiento Grafico SE`S'!$D$9</c:f>
              <c:strCache>
                <c:ptCount val="1"/>
                <c:pt idx="0">
                  <c:v>feb-21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SE`S'!$D$10:$D$25</c:f>
              <c:numCache>
                <c:formatCode>#,##0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4936.2296247550003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D8A-46CC-ACBD-BAF38139030A}"/>
            </c:ext>
          </c:extLst>
        </c:ser>
        <c:ser>
          <c:idx val="2"/>
          <c:order val="2"/>
          <c:tx>
            <c:strRef>
              <c:f>'Comportamiento Grafico SE`S'!$E$9</c:f>
              <c:strCache>
                <c:ptCount val="1"/>
                <c:pt idx="0">
                  <c:v>mar-21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SE`S'!$E$10:$E$25</c:f>
              <c:numCache>
                <c:formatCode>#,##0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5998.1896905000003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D8A-46CC-ACBD-BAF38139030A}"/>
            </c:ext>
          </c:extLst>
        </c:ser>
        <c:ser>
          <c:idx val="3"/>
          <c:order val="3"/>
          <c:tx>
            <c:strRef>
              <c:f>'Comportamiento Grafico SE`S'!$F$9</c:f>
              <c:strCache>
                <c:ptCount val="1"/>
                <c:pt idx="0">
                  <c:v>abr-21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SE`S'!$F$10:$F$25</c:f>
              <c:numCache>
                <c:formatCode>#,##0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5388.08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D8A-46CC-ACBD-BAF38139030A}"/>
            </c:ext>
          </c:extLst>
        </c:ser>
        <c:ser>
          <c:idx val="4"/>
          <c:order val="4"/>
          <c:tx>
            <c:strRef>
              <c:f>'Comportamiento Grafico SE`S'!$G$9</c:f>
              <c:strCache>
                <c:ptCount val="1"/>
                <c:pt idx="0">
                  <c:v>may-21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SE`S'!$G$10:$G$25</c:f>
              <c:numCache>
                <c:formatCode>#,##0</c:formatCode>
                <c:ptCount val="16"/>
                <c:pt idx="0">
                  <c:v>4758.4574380000004</c:v>
                </c:pt>
                <c:pt idx="1">
                  <c:v>12387.799967000001</c:v>
                </c:pt>
                <c:pt idx="2">
                  <c:v>21439.29804093</c:v>
                </c:pt>
                <c:pt idx="3">
                  <c:v>14524.059826409999</c:v>
                </c:pt>
                <c:pt idx="4">
                  <c:v>23484.45015972</c:v>
                </c:pt>
                <c:pt idx="5">
                  <c:v>7797.5383300000003</c:v>
                </c:pt>
                <c:pt idx="6">
                  <c:v>30318.015339149995</c:v>
                </c:pt>
                <c:pt idx="7">
                  <c:v>4106.7133379999996</c:v>
                </c:pt>
                <c:pt idx="8">
                  <c:v>26103.299803999998</c:v>
                </c:pt>
                <c:pt idx="9">
                  <c:v>36123.31858608</c:v>
                </c:pt>
                <c:pt idx="10">
                  <c:v>5483.3316240000004</c:v>
                </c:pt>
                <c:pt idx="11">
                  <c:v>16357.833495999999</c:v>
                </c:pt>
                <c:pt idx="12">
                  <c:v>3064</c:v>
                </c:pt>
                <c:pt idx="13">
                  <c:v>3879.9216710000001</c:v>
                </c:pt>
                <c:pt idx="14">
                  <c:v>8567.9300129999992</c:v>
                </c:pt>
                <c:pt idx="15">
                  <c:v>10523.166503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D8A-46CC-ACBD-BAF38139030A}"/>
            </c:ext>
          </c:extLst>
        </c:ser>
        <c:ser>
          <c:idx val="5"/>
          <c:order val="5"/>
          <c:tx>
            <c:strRef>
              <c:f>'Comportamiento Grafico SE`S'!$H$9</c:f>
              <c:strCache>
                <c:ptCount val="1"/>
                <c:pt idx="0">
                  <c:v>jun-21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SE`S'!$H$10:$H$25</c:f>
              <c:numCache>
                <c:formatCode>#,##0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D8A-46CC-ACBD-BAF38139030A}"/>
            </c:ext>
          </c:extLst>
        </c:ser>
        <c:ser>
          <c:idx val="6"/>
          <c:order val="6"/>
          <c:tx>
            <c:strRef>
              <c:f>'Comportamiento Grafico SE`S'!$I$9</c:f>
              <c:strCache>
                <c:ptCount val="1"/>
                <c:pt idx="0">
                  <c:v>jul-21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SE`S'!$I$10:$I$25</c:f>
              <c:numCache>
                <c:formatCode>#,##0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D8A-46CC-ACBD-BAF38139030A}"/>
            </c:ext>
          </c:extLst>
        </c:ser>
        <c:ser>
          <c:idx val="7"/>
          <c:order val="7"/>
          <c:tx>
            <c:strRef>
              <c:f>'Comportamiento Grafico SE`S'!$J$9</c:f>
              <c:strCache>
                <c:ptCount val="1"/>
                <c:pt idx="0">
                  <c:v>ago-21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SE`S'!$J$10:$J$23</c:f>
              <c:numCache>
                <c:formatCode>#,##0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D8A-46CC-ACBD-BAF38139030A}"/>
            </c:ext>
          </c:extLst>
        </c:ser>
        <c:ser>
          <c:idx val="8"/>
          <c:order val="8"/>
          <c:tx>
            <c:strRef>
              <c:f>'Comportamiento Grafico SE`S'!$K$9</c:f>
              <c:strCache>
                <c:ptCount val="1"/>
                <c:pt idx="0">
                  <c:v>sep-21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SE`S'!$K$10:$K$23</c:f>
              <c:numCache>
                <c:formatCode>#,##0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D8A-46CC-ACBD-BAF38139030A}"/>
            </c:ext>
          </c:extLst>
        </c:ser>
        <c:ser>
          <c:idx val="9"/>
          <c:order val="9"/>
          <c:tx>
            <c:strRef>
              <c:f>'Comportamiento Grafico SE`S'!$L$9</c:f>
              <c:strCache>
                <c:ptCount val="1"/>
                <c:pt idx="0">
                  <c:v>oct-21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SE`S'!$L$10:$L$23</c:f>
              <c:numCache>
                <c:formatCode>#,##0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9D8A-46CC-ACBD-BAF38139030A}"/>
            </c:ext>
          </c:extLst>
        </c:ser>
        <c:ser>
          <c:idx val="10"/>
          <c:order val="10"/>
          <c:tx>
            <c:strRef>
              <c:f>'Comportamiento Grafico SE`S'!$M$9</c:f>
              <c:strCache>
                <c:ptCount val="1"/>
                <c:pt idx="0">
                  <c:v>nov-21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SE`S'!$M$10:$M$23</c:f>
              <c:numCache>
                <c:formatCode>#,##0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9D8A-46CC-ACBD-BAF38139030A}"/>
            </c:ext>
          </c:extLst>
        </c:ser>
        <c:ser>
          <c:idx val="11"/>
          <c:order val="11"/>
          <c:tx>
            <c:strRef>
              <c:f>'Comportamiento Grafico SE`S'!$N$9</c:f>
              <c:strCache>
                <c:ptCount val="1"/>
                <c:pt idx="0">
                  <c:v>dic-21</c:v>
                </c:pt>
              </c:strCache>
            </c:strRef>
          </c:tx>
          <c:invertIfNegative val="0"/>
          <c:cat>
            <c:strRef>
              <c:f>'Comportamiento Grafico SE`S'!$B$10:$B$25</c:f>
              <c:strCache>
                <c:ptCount val="16"/>
                <c:pt idx="0">
                  <c:v>S.E CHICBUL</c:v>
                </c:pt>
                <c:pt idx="1">
                  <c:v>S.E CALKINI</c:v>
                </c:pt>
                <c:pt idx="2">
                  <c:v>S.E CHAMPOTON</c:v>
                </c:pt>
                <c:pt idx="3">
                  <c:v>S.E CAYAL</c:v>
                </c:pt>
                <c:pt idx="4">
                  <c:v>S.E ESCARCEGA</c:v>
                </c:pt>
                <c:pt idx="5">
                  <c:v>S.E HECELCHAKAN</c:v>
                </c:pt>
                <c:pt idx="6">
                  <c:v>S.E KALA</c:v>
                </c:pt>
                <c:pt idx="7">
                  <c:v>S.E LERMA</c:v>
                </c:pt>
                <c:pt idx="8">
                  <c:v>S.E SAMULA II</c:v>
                </c:pt>
                <c:pt idx="9">
                  <c:v>S.E SAMULA</c:v>
                </c:pt>
                <c:pt idx="10">
                  <c:v>S.E XPUJIL</c:v>
                </c:pt>
                <c:pt idx="11">
                  <c:v>S.E AHKIMPECH</c:v>
                </c:pt>
                <c:pt idx="12">
                  <c:v>S.E SIHOCHAC</c:v>
                </c:pt>
                <c:pt idx="13">
                  <c:v>S.E SABANCUY</c:v>
                </c:pt>
                <c:pt idx="14">
                  <c:v>S.E HOPELCHEN DOS</c:v>
                </c:pt>
                <c:pt idx="15">
                  <c:v>S.E CANDELARIA DOS</c:v>
                </c:pt>
              </c:strCache>
            </c:strRef>
          </c:cat>
          <c:val>
            <c:numRef>
              <c:f>'Comportamiento Grafico SE`S'!$N$10:$N$23</c:f>
              <c:numCache>
                <c:formatCode>#,##0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9D8A-46CC-ACBD-BAF3813903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69760111"/>
        <c:axId val="1"/>
      </c:barChart>
      <c:catAx>
        <c:axId val="4697601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-270000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/>
        <c:numFmt formatCode="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9760111"/>
        <c:crosses val="autoZero"/>
        <c:crossBetween val="between"/>
        <c:majorUnit val="955"/>
      </c:valAx>
    </c:plotArea>
    <c:legend>
      <c:legendPos val="r"/>
      <c:layout>
        <c:manualLayout>
          <c:xMode val="edge"/>
          <c:yMode val="edge"/>
          <c:x val="0.96380736314138815"/>
          <c:y val="0.33637421942645407"/>
          <c:w val="2.7814574909449458E-2"/>
          <c:h val="0.31039937622750008"/>
        </c:manualLayout>
      </c:layout>
      <c:overlay val="0"/>
      <c:txPr>
        <a:bodyPr/>
        <a:lstStyle/>
        <a:p>
          <a:pPr>
            <a:defRPr sz="35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HOPELCHEN'!$A$46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HOPELCHEN'!$B$9:$N$10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HOPELCHEN'!$B$47:$N$47</c:f>
              <c:numCache>
                <c:formatCode>#,##0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7626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82-46AE-A89C-B1C6985424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25023"/>
        <c:axId val="1"/>
      </c:lineChart>
      <c:dateAx>
        <c:axId val="46702502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  <c:min val="3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#,##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25023"/>
        <c:crosses val="autoZero"/>
        <c:crossBetween val="between"/>
        <c:majorUnit val="3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23226649766452"/>
          <c:y val="0.93534515936314788"/>
          <c:w val="7.7722582084967115E-2"/>
          <c:h val="4.1959409018159907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accent3">
        <a:lumMod val="20000"/>
        <a:lumOff val="80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Hopelchen</a:t>
            </a:r>
          </a:p>
        </c:rich>
      </c:tx>
      <c:layout>
        <c:manualLayout>
          <c:xMode val="edge"/>
          <c:yMode val="edge"/>
          <c:x val="0.35765893425171563"/>
          <c:y val="1.3377873220392906E-2"/>
        </c:manualLayout>
      </c:layout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HOPELCHEN'!$A$12</c:f>
              <c:strCache>
                <c:ptCount val="1"/>
                <c:pt idx="0">
                  <c:v>HPN4210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HOPELCHEN'!$B$13:$N$13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1959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534-4D5D-8E9A-28554094FCAA}"/>
            </c:ext>
          </c:extLst>
        </c:ser>
        <c:ser>
          <c:idx val="1"/>
          <c:order val="1"/>
          <c:tx>
            <c:strRef>
              <c:f>'S.E HOPELCHEN'!$A$19</c:f>
              <c:strCache>
                <c:ptCount val="1"/>
                <c:pt idx="0">
                  <c:v>HPN4220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HOPELCHEN'!$B$20:$N$20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1206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534-4D5D-8E9A-28554094FCAA}"/>
            </c:ext>
          </c:extLst>
        </c:ser>
        <c:ser>
          <c:idx val="2"/>
          <c:order val="2"/>
          <c:tx>
            <c:strRef>
              <c:f>'S.E HOPELCHEN'!$A$26</c:f>
              <c:strCache>
                <c:ptCount val="1"/>
                <c:pt idx="0">
                  <c:v>HPN4230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HOPELCHEN'!$B$27:$N$27</c:f>
              <c:numCache>
                <c:formatCode>_-* #,##0_-;\-* #,##0_-;_-* "-"??_-;_-@_-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1077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534-4D5D-8E9A-28554094FCAA}"/>
            </c:ext>
          </c:extLst>
        </c:ser>
        <c:ser>
          <c:idx val="3"/>
          <c:order val="3"/>
          <c:tx>
            <c:strRef>
              <c:f>'S.E HOPELCHEN'!$A$33</c:f>
              <c:strCache>
                <c:ptCount val="1"/>
                <c:pt idx="0">
                  <c:v>HPN4240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HOPELCHEN'!$B$34:$N$34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3460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534-4D5D-8E9A-28554094FC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7022943"/>
        <c:axId val="1"/>
      </c:lineChart>
      <c:dateAx>
        <c:axId val="467022943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7022943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32075091961517682"/>
          <c:y val="0.95222745075139081"/>
          <c:w val="0.35334454655066821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Samuel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SAMUEL'!$A$12</c:f>
              <c:strCache>
                <c:ptCount val="1"/>
                <c:pt idx="0">
                  <c:v>SAU4210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SAMUEL'!$B$13:$N$13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E6C-4F29-B4E1-060C02DC4BD8}"/>
            </c:ext>
          </c:extLst>
        </c:ser>
        <c:ser>
          <c:idx val="1"/>
          <c:order val="1"/>
          <c:tx>
            <c:strRef>
              <c:f>'S.E SAMUEL'!$A$19</c:f>
              <c:strCache>
                <c:ptCount val="1"/>
                <c:pt idx="0">
                  <c:v>SAU4220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SAMUEL'!$B$20:$N$20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E6C-4F29-B4E1-060C02DC4BD8}"/>
            </c:ext>
          </c:extLst>
        </c:ser>
        <c:ser>
          <c:idx val="2"/>
          <c:order val="2"/>
          <c:tx>
            <c:strRef>
              <c:f>'S.E SAMUEL'!$A$26</c:f>
              <c:strCache>
                <c:ptCount val="1"/>
                <c:pt idx="0">
                  <c:v>SAU4230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SAMUEL'!$B$27:$N$27</c:f>
              <c:numCache>
                <c:formatCode>_-* #,##0_-;\-* #,##0_-;_-* "-"??_-;_-@_-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E6C-4F29-B4E1-060C02DC4B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9296463"/>
        <c:axId val="1"/>
      </c:lineChart>
      <c:dateAx>
        <c:axId val="469296463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9296463"/>
        <c:crosses val="autoZero"/>
        <c:crossBetween val="between"/>
        <c:majorUnit val="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36769136646757072"/>
          <c:y val="0.95222745075139081"/>
          <c:w val="0.26168357331260578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SAMUEL'!$A$38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SAMUEL'!$B$39:$N$39</c:f>
              <c:numCache>
                <c:formatCode>#,##0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472-4B94-A056-03F6CCC4A4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8612335"/>
        <c:axId val="1"/>
      </c:lineChart>
      <c:dateAx>
        <c:axId val="46861233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#,##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8612335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23226649766452"/>
          <c:y val="0.89975764632342026"/>
          <c:w val="7.7722582084967115E-2"/>
          <c:h val="6.5042721420970145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Candelaria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CANDELARIA'!$A$12</c:f>
              <c:strCache>
                <c:ptCount val="1"/>
                <c:pt idx="0">
                  <c:v>CDA4210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CANDELARIA'!$B$13:$N$13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3172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461-4964-9D67-35DB7A316BA1}"/>
            </c:ext>
          </c:extLst>
        </c:ser>
        <c:ser>
          <c:idx val="1"/>
          <c:order val="1"/>
          <c:tx>
            <c:strRef>
              <c:f>'S.E CANDELARIA'!$A$19</c:f>
              <c:strCache>
                <c:ptCount val="1"/>
                <c:pt idx="0">
                  <c:v>CDA4220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CANDELARIA'!$B$20:$N$20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2431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461-4964-9D67-35DB7A316BA1}"/>
            </c:ext>
          </c:extLst>
        </c:ser>
        <c:ser>
          <c:idx val="2"/>
          <c:order val="2"/>
          <c:tx>
            <c:strRef>
              <c:f>'S.E CANDELARIA'!$A$26</c:f>
              <c:strCache>
                <c:ptCount val="1"/>
                <c:pt idx="0">
                  <c:v>CDA4230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CANDELARIA'!$B$27:$N$27</c:f>
              <c:numCache>
                <c:formatCode>_-* #,##0_-;\-* #,##0_-;_-* "-"??_-;_-@_-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2554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461-4964-9D67-35DB7A316B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4342479"/>
        <c:axId val="1"/>
      </c:lineChart>
      <c:dateAx>
        <c:axId val="474342479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42479"/>
        <c:crosses val="autoZero"/>
        <c:crossBetween val="between"/>
        <c:majorUnit val="1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36620873998987896"/>
          <c:y val="0.95222745075139081"/>
          <c:w val="0.26168357331260578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CANDELARIA'!$A$38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CANDELARIA'!$B$39:$N$39</c:f>
              <c:numCache>
                <c:formatCode>#,##0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8599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8B-46AD-8CA4-A99817AEE3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74345807"/>
        <c:axId val="1"/>
      </c:lineChart>
      <c:dateAx>
        <c:axId val="4743458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#,##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45807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23226649766452"/>
          <c:y val="0.89975764632342026"/>
          <c:w val="7.7722582084967115E-2"/>
          <c:h val="6.5042721420970145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Seybaplaya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SEYBAPLAYA'!$A$12</c:f>
              <c:strCache>
                <c:ptCount val="1"/>
                <c:pt idx="0">
                  <c:v>SBP04210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SEYBAPLAYA'!$B$13:$N$13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38F-4FB5-99FC-299E82E98D85}"/>
            </c:ext>
          </c:extLst>
        </c:ser>
        <c:ser>
          <c:idx val="3"/>
          <c:order val="1"/>
          <c:tx>
            <c:strRef>
              <c:f>'S.E SEYBAPLAYA'!$A$19</c:f>
              <c:strCache>
                <c:ptCount val="1"/>
                <c:pt idx="0">
                  <c:v>SBP04220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SEYBAPLAYA'!$B$20:$N$20</c:f>
              <c:numCache>
                <c:formatCode>General</c:formatCode>
                <c:ptCount val="13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38F-4FB5-99FC-299E82E98D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712831"/>
        <c:axId val="1"/>
      </c:lineChart>
      <c:dateAx>
        <c:axId val="609712831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609712831"/>
        <c:crosses val="autoZero"/>
        <c:crossBetween val="between"/>
        <c:majorUnit val="1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0994622108178747"/>
          <c:y val="0.95222745075139081"/>
          <c:w val="0.16901941845686716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SEYBAPLAYA'!$A$32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SEYBAPLAYA'!$B$33:$N$33</c:f>
              <c:numCache>
                <c:formatCode>#,##0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3955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A5-45A6-81E5-DE12CFAF33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708255"/>
        <c:axId val="1"/>
      </c:lineChart>
      <c:dateAx>
        <c:axId val="6097082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ajorUnit val="1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#,##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609708255"/>
        <c:crosses val="autoZero"/>
        <c:crossBetween val="between"/>
        <c:majorUnit val="65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23226649766452"/>
          <c:y val="0.83547350124522479"/>
          <c:w val="7.7722582084967115E-2"/>
          <c:h val="0.1012695153024515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'Reporte SIMOCE'!$P$95</c:f>
              <c:strCache>
                <c:ptCount val="1"/>
                <c:pt idx="0">
                  <c:v>F.P &gt; 0,95</c:v>
                </c:pt>
              </c:strCache>
            </c:strRef>
          </c:tx>
          <c:invertIfNegative val="0"/>
          <c:cat>
            <c:strRef>
              <c:f>'Reporte SIMOCE'!$O$96:$O$102</c:f>
              <c:strCache>
                <c:ptCount val="7"/>
                <c:pt idx="0">
                  <c:v>Campeche</c:v>
                </c:pt>
                <c:pt idx="1">
                  <c:v>Champoton</c:v>
                </c:pt>
                <c:pt idx="2">
                  <c:v>Calkini</c:v>
                </c:pt>
                <c:pt idx="3">
                  <c:v>Hopelchen</c:v>
                </c:pt>
                <c:pt idx="4">
                  <c:v>Escarcega</c:v>
                </c:pt>
                <c:pt idx="5">
                  <c:v>Candelaria</c:v>
                </c:pt>
                <c:pt idx="6">
                  <c:v>Xpujil</c:v>
                </c:pt>
              </c:strCache>
            </c:strRef>
          </c:cat>
          <c:val>
            <c:numRef>
              <c:f>'Reporte SIMOCE'!$P$96:$P$102</c:f>
              <c:numCache>
                <c:formatCode>General</c:formatCode>
                <c:ptCount val="7"/>
                <c:pt idx="0">
                  <c:v>28</c:v>
                </c:pt>
                <c:pt idx="1">
                  <c:v>2</c:v>
                </c:pt>
                <c:pt idx="2">
                  <c:v>7</c:v>
                </c:pt>
                <c:pt idx="3">
                  <c:v>6</c:v>
                </c:pt>
                <c:pt idx="4">
                  <c:v>5</c:v>
                </c:pt>
                <c:pt idx="5">
                  <c:v>3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EE-4F8D-B5E6-94789340D5E4}"/>
            </c:ext>
          </c:extLst>
        </c:ser>
        <c:ser>
          <c:idx val="1"/>
          <c:order val="1"/>
          <c:tx>
            <c:strRef>
              <c:f>'Reporte SIMOCE'!$Q$95</c:f>
              <c:strCache>
                <c:ptCount val="1"/>
                <c:pt idx="0">
                  <c:v> F.P. &lt; 0,95</c:v>
                </c:pt>
              </c:strCache>
            </c:strRef>
          </c:tx>
          <c:invertIfNegative val="0"/>
          <c:cat>
            <c:strRef>
              <c:f>'Reporte SIMOCE'!$O$96:$O$102</c:f>
              <c:strCache>
                <c:ptCount val="7"/>
                <c:pt idx="0">
                  <c:v>Campeche</c:v>
                </c:pt>
                <c:pt idx="1">
                  <c:v>Champoton</c:v>
                </c:pt>
                <c:pt idx="2">
                  <c:v>Calkini</c:v>
                </c:pt>
                <c:pt idx="3">
                  <c:v>Hopelchen</c:v>
                </c:pt>
                <c:pt idx="4">
                  <c:v>Escarcega</c:v>
                </c:pt>
                <c:pt idx="5">
                  <c:v>Candelaria</c:v>
                </c:pt>
                <c:pt idx="6">
                  <c:v>Xpujil</c:v>
                </c:pt>
              </c:strCache>
            </c:strRef>
          </c:cat>
          <c:val>
            <c:numRef>
              <c:f>'Reporte SIMOCE'!$Q$96:$Q$102</c:f>
              <c:numCache>
                <c:formatCode>General</c:formatCode>
                <c:ptCount val="7"/>
                <c:pt idx="0">
                  <c:v>4</c:v>
                </c:pt>
                <c:pt idx="1">
                  <c:v>0</c:v>
                </c:pt>
                <c:pt idx="2">
                  <c:v>0</c:v>
                </c:pt>
                <c:pt idx="3">
                  <c:v>3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FEE-4F8D-B5E6-94789340D5E4}"/>
            </c:ext>
          </c:extLst>
        </c:ser>
        <c:ser>
          <c:idx val="2"/>
          <c:order val="2"/>
          <c:tx>
            <c:strRef>
              <c:f>'Reporte SIMOCE'!$R$95</c:f>
              <c:strCache>
                <c:ptCount val="1"/>
                <c:pt idx="0">
                  <c:v>Sin Medicion F.P.</c:v>
                </c:pt>
              </c:strCache>
            </c:strRef>
          </c:tx>
          <c:invertIfNegative val="0"/>
          <c:cat>
            <c:strRef>
              <c:f>'Reporte SIMOCE'!$O$96:$O$102</c:f>
              <c:strCache>
                <c:ptCount val="7"/>
                <c:pt idx="0">
                  <c:v>Campeche</c:v>
                </c:pt>
                <c:pt idx="1">
                  <c:v>Champoton</c:v>
                </c:pt>
                <c:pt idx="2">
                  <c:v>Calkini</c:v>
                </c:pt>
                <c:pt idx="3">
                  <c:v>Hopelchen</c:v>
                </c:pt>
                <c:pt idx="4">
                  <c:v>Escarcega</c:v>
                </c:pt>
                <c:pt idx="5">
                  <c:v>Candelaria</c:v>
                </c:pt>
                <c:pt idx="6">
                  <c:v>Xpujil</c:v>
                </c:pt>
              </c:strCache>
            </c:strRef>
          </c:cat>
          <c:val>
            <c:numRef>
              <c:f>'Reporte SIMOCE'!$R$96:$R$102</c:f>
              <c:numCache>
                <c:formatCode>General</c:formatCode>
                <c:ptCount val="7"/>
                <c:pt idx="0">
                  <c:v>0</c:v>
                </c:pt>
                <c:pt idx="1">
                  <c:v>9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FEE-4F8D-B5E6-94789340D5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74352463"/>
        <c:axId val="1"/>
      </c:barChart>
      <c:catAx>
        <c:axId val="47435246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-270000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52463"/>
        <c:crosses val="autoZero"/>
        <c:crossBetween val="between"/>
        <c:majorUnit val="2"/>
      </c:valAx>
    </c:plotArea>
    <c:legend>
      <c:legendPos val="r"/>
      <c:layout>
        <c:manualLayout>
          <c:xMode val="edge"/>
          <c:yMode val="edge"/>
          <c:x val="0.88336163353361186"/>
          <c:y val="0.42335524577914102"/>
          <c:w val="9.8721111439895662E-2"/>
          <c:h val="0.13501599730253686"/>
        </c:manualLayout>
      </c:layout>
      <c:overlay val="0"/>
      <c:txPr>
        <a:bodyPr/>
        <a:lstStyle/>
        <a:p>
          <a:pPr>
            <a:defRPr sz="35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'Reporte SIMOCE'!$P$109</c:f>
              <c:strCache>
                <c:ptCount val="1"/>
                <c:pt idx="0">
                  <c:v>Medicion F.P.</c:v>
                </c:pt>
              </c:strCache>
            </c:strRef>
          </c:tx>
          <c:invertIfNegative val="0"/>
          <c:cat>
            <c:strRef>
              <c:f>'Reporte SIMOCE'!$O$110:$O$116</c:f>
              <c:strCache>
                <c:ptCount val="7"/>
                <c:pt idx="0">
                  <c:v>Campeche</c:v>
                </c:pt>
                <c:pt idx="1">
                  <c:v>Champoton</c:v>
                </c:pt>
                <c:pt idx="2">
                  <c:v>Calkini</c:v>
                </c:pt>
                <c:pt idx="3">
                  <c:v>Hopelchen</c:v>
                </c:pt>
                <c:pt idx="4">
                  <c:v>Escarcega</c:v>
                </c:pt>
                <c:pt idx="5">
                  <c:v>Candelaria</c:v>
                </c:pt>
                <c:pt idx="6">
                  <c:v>Xpujil</c:v>
                </c:pt>
              </c:strCache>
            </c:strRef>
          </c:cat>
          <c:val>
            <c:numRef>
              <c:f>'Reporte SIMOCE'!$P$110:$P$116</c:f>
              <c:numCache>
                <c:formatCode>General</c:formatCode>
                <c:ptCount val="7"/>
                <c:pt idx="0">
                  <c:v>32</c:v>
                </c:pt>
                <c:pt idx="1">
                  <c:v>2</c:v>
                </c:pt>
                <c:pt idx="2">
                  <c:v>7</c:v>
                </c:pt>
                <c:pt idx="3">
                  <c:v>9</c:v>
                </c:pt>
                <c:pt idx="4">
                  <c:v>5</c:v>
                </c:pt>
                <c:pt idx="5">
                  <c:v>3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B58-4F9F-A9D7-AF9E746B10F5}"/>
            </c:ext>
          </c:extLst>
        </c:ser>
        <c:ser>
          <c:idx val="1"/>
          <c:order val="1"/>
          <c:tx>
            <c:strRef>
              <c:f>'Reporte SIMOCE'!$Q$109</c:f>
              <c:strCache>
                <c:ptCount val="1"/>
                <c:pt idx="0">
                  <c:v>Medidor de Calidad</c:v>
                </c:pt>
              </c:strCache>
            </c:strRef>
          </c:tx>
          <c:invertIfNegative val="0"/>
          <c:cat>
            <c:strRef>
              <c:f>'Reporte SIMOCE'!$O$110:$O$116</c:f>
              <c:strCache>
                <c:ptCount val="7"/>
                <c:pt idx="0">
                  <c:v>Campeche</c:v>
                </c:pt>
                <c:pt idx="1">
                  <c:v>Champoton</c:v>
                </c:pt>
                <c:pt idx="2">
                  <c:v>Calkini</c:v>
                </c:pt>
                <c:pt idx="3">
                  <c:v>Hopelchen</c:v>
                </c:pt>
                <c:pt idx="4">
                  <c:v>Escarcega</c:v>
                </c:pt>
                <c:pt idx="5">
                  <c:v>Candelaria</c:v>
                </c:pt>
                <c:pt idx="6">
                  <c:v>Xpujil</c:v>
                </c:pt>
              </c:strCache>
            </c:strRef>
          </c:cat>
          <c:val>
            <c:numRef>
              <c:f>'Reporte SIMOCE'!$Q$110:$Q$116</c:f>
              <c:numCache>
                <c:formatCode>General</c:formatCode>
                <c:ptCount val="7"/>
                <c:pt idx="0">
                  <c:v>31</c:v>
                </c:pt>
                <c:pt idx="1">
                  <c:v>0</c:v>
                </c:pt>
                <c:pt idx="2">
                  <c:v>8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B58-4F9F-A9D7-AF9E746B10F5}"/>
            </c:ext>
          </c:extLst>
        </c:ser>
        <c:ser>
          <c:idx val="2"/>
          <c:order val="2"/>
          <c:tx>
            <c:strRef>
              <c:f>'Reporte SIMOCE'!$R$109</c:f>
              <c:strCache>
                <c:ptCount val="1"/>
                <c:pt idx="0">
                  <c:v>Circuitos Mayores a 4,5MW</c:v>
                </c:pt>
              </c:strCache>
            </c:strRef>
          </c:tx>
          <c:invertIfNegative val="0"/>
          <c:cat>
            <c:strRef>
              <c:f>'Reporte SIMOCE'!$O$110:$O$116</c:f>
              <c:strCache>
                <c:ptCount val="7"/>
                <c:pt idx="0">
                  <c:v>Campeche</c:v>
                </c:pt>
                <c:pt idx="1">
                  <c:v>Champoton</c:v>
                </c:pt>
                <c:pt idx="2">
                  <c:v>Calkini</c:v>
                </c:pt>
                <c:pt idx="3">
                  <c:v>Hopelchen</c:v>
                </c:pt>
                <c:pt idx="4">
                  <c:v>Escarcega</c:v>
                </c:pt>
                <c:pt idx="5">
                  <c:v>Candelaria</c:v>
                </c:pt>
                <c:pt idx="6">
                  <c:v>Xpujil</c:v>
                </c:pt>
              </c:strCache>
            </c:strRef>
          </c:cat>
          <c:val>
            <c:numRef>
              <c:f>'Reporte SIMOCE'!$R$110:$R$116</c:f>
              <c:numCache>
                <c:formatCode>General</c:formatCode>
                <c:ptCount val="7"/>
                <c:pt idx="0">
                  <c:v>9</c:v>
                </c:pt>
                <c:pt idx="1">
                  <c:v>1</c:v>
                </c:pt>
                <c:pt idx="2">
                  <c:v>0</c:v>
                </c:pt>
                <c:pt idx="3">
                  <c:v>2</c:v>
                </c:pt>
                <c:pt idx="4">
                  <c:v>1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B58-4F9F-A9D7-AF9E746B10F5}"/>
            </c:ext>
          </c:extLst>
        </c:ser>
        <c:ser>
          <c:idx val="3"/>
          <c:order val="3"/>
          <c:tx>
            <c:strRef>
              <c:f>'Reporte SIMOCE'!$S$109</c:f>
              <c:strCache>
                <c:ptCount val="1"/>
                <c:pt idx="0">
                  <c:v>Requiere Balanceo</c:v>
                </c:pt>
              </c:strCache>
            </c:strRef>
          </c:tx>
          <c:invertIfNegative val="0"/>
          <c:cat>
            <c:strRef>
              <c:f>'Reporte SIMOCE'!$O$110:$O$116</c:f>
              <c:strCache>
                <c:ptCount val="7"/>
                <c:pt idx="0">
                  <c:v>Campeche</c:v>
                </c:pt>
                <c:pt idx="1">
                  <c:v>Champoton</c:v>
                </c:pt>
                <c:pt idx="2">
                  <c:v>Calkini</c:v>
                </c:pt>
                <c:pt idx="3">
                  <c:v>Hopelchen</c:v>
                </c:pt>
                <c:pt idx="4">
                  <c:v>Escarcega</c:v>
                </c:pt>
                <c:pt idx="5">
                  <c:v>Candelaria</c:v>
                </c:pt>
                <c:pt idx="6">
                  <c:v>Xpujil</c:v>
                </c:pt>
              </c:strCache>
            </c:strRef>
          </c:cat>
          <c:val>
            <c:numRef>
              <c:f>'Reporte SIMOCE'!$S$110:$S$116</c:f>
              <c:numCache>
                <c:formatCode>General</c:formatCode>
                <c:ptCount val="7"/>
                <c:pt idx="0">
                  <c:v>11</c:v>
                </c:pt>
                <c:pt idx="1">
                  <c:v>1</c:v>
                </c:pt>
                <c:pt idx="2">
                  <c:v>4</c:v>
                </c:pt>
                <c:pt idx="3">
                  <c:v>4</c:v>
                </c:pt>
                <c:pt idx="4">
                  <c:v>5</c:v>
                </c:pt>
                <c:pt idx="5">
                  <c:v>2</c:v>
                </c:pt>
                <c:pt idx="6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B58-4F9F-A9D7-AF9E746B10F5}"/>
            </c:ext>
          </c:extLst>
        </c:ser>
        <c:ser>
          <c:idx val="4"/>
          <c:order val="4"/>
          <c:tx>
            <c:strRef>
              <c:f>'Reporte SIMOCE'!$T$109</c:f>
              <c:strCache>
                <c:ptCount val="1"/>
                <c:pt idx="0">
                  <c:v>Requiere Compensacion</c:v>
                </c:pt>
              </c:strCache>
            </c:strRef>
          </c:tx>
          <c:invertIfNegative val="0"/>
          <c:cat>
            <c:strRef>
              <c:f>'Reporte SIMOCE'!$O$110:$O$116</c:f>
              <c:strCache>
                <c:ptCount val="7"/>
                <c:pt idx="0">
                  <c:v>Campeche</c:v>
                </c:pt>
                <c:pt idx="1">
                  <c:v>Champoton</c:v>
                </c:pt>
                <c:pt idx="2">
                  <c:v>Calkini</c:v>
                </c:pt>
                <c:pt idx="3">
                  <c:v>Hopelchen</c:v>
                </c:pt>
                <c:pt idx="4">
                  <c:v>Escarcega</c:v>
                </c:pt>
                <c:pt idx="5">
                  <c:v>Candelaria</c:v>
                </c:pt>
                <c:pt idx="6">
                  <c:v>Xpujil</c:v>
                </c:pt>
              </c:strCache>
            </c:strRef>
          </c:cat>
          <c:val>
            <c:numRef>
              <c:f>'Reporte SIMOCE'!$T$110:$T$116</c:f>
              <c:numCache>
                <c:formatCode>General</c:formatCode>
                <c:ptCount val="7"/>
                <c:pt idx="0">
                  <c:v>4</c:v>
                </c:pt>
                <c:pt idx="1">
                  <c:v>1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B58-4F9F-A9D7-AF9E746B10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74349967"/>
        <c:axId val="1"/>
      </c:barChart>
      <c:catAx>
        <c:axId val="47434996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-270000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49967"/>
        <c:crosses val="autoZero"/>
        <c:crossBetween val="between"/>
        <c:majorUnit val="1"/>
      </c:valAx>
    </c:plotArea>
    <c:legend>
      <c:legendPos val="r"/>
      <c:layout>
        <c:manualLayout>
          <c:xMode val="edge"/>
          <c:yMode val="edge"/>
          <c:x val="0.85649212068567382"/>
          <c:y val="0.41112381154115368"/>
          <c:w val="0.13404932082753621"/>
          <c:h val="0.16528288369390981"/>
        </c:manualLayout>
      </c:layout>
      <c:overlay val="0"/>
      <c:txPr>
        <a:bodyPr/>
        <a:lstStyle/>
        <a:p>
          <a:pPr>
            <a:defRPr sz="35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'Comportamiento Mensual Bancos'!$B$9</c:f>
              <c:strCache>
                <c:ptCount val="1"/>
                <c:pt idx="0">
                  <c:v>ene-21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Bancos'!$B$10:$B$35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0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182-4352-BE3A-5CD82CFFC7D6}"/>
            </c:ext>
          </c:extLst>
        </c:ser>
        <c:ser>
          <c:idx val="0"/>
          <c:order val="1"/>
          <c:tx>
            <c:strRef>
              <c:f>'Comportamiento Mensual Bancos'!$C$9</c:f>
              <c:strCache>
                <c:ptCount val="1"/>
                <c:pt idx="0">
                  <c:v>feb-21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Bancos'!$C$10:$C$35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5279.3899730000003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182-4352-BE3A-5CD82CFFC7D6}"/>
            </c:ext>
          </c:extLst>
        </c:ser>
        <c:ser>
          <c:idx val="2"/>
          <c:order val="2"/>
          <c:tx>
            <c:strRef>
              <c:f>'Comportamiento Mensual Bancos'!$D$9</c:f>
              <c:strCache>
                <c:ptCount val="1"/>
                <c:pt idx="0">
                  <c:v>mar-21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Bancos'!$D$10:$D$35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6120.6017250000004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182-4352-BE3A-5CD82CFFC7D6}"/>
            </c:ext>
          </c:extLst>
        </c:ser>
        <c:ser>
          <c:idx val="3"/>
          <c:order val="3"/>
          <c:tx>
            <c:strRef>
              <c:f>'Comportamiento Mensual Bancos'!$E$9</c:f>
              <c:strCache>
                <c:ptCount val="1"/>
                <c:pt idx="0">
                  <c:v>abr-21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Bancos'!$E$10:$E$35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5732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182-4352-BE3A-5CD82CFFC7D6}"/>
            </c:ext>
          </c:extLst>
        </c:ser>
        <c:ser>
          <c:idx val="4"/>
          <c:order val="4"/>
          <c:tx>
            <c:strRef>
              <c:f>'Comportamiento Mensual Bancos'!$F$9</c:f>
              <c:strCache>
                <c:ptCount val="1"/>
                <c:pt idx="0">
                  <c:v>may-21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Bancos'!$F$10:$F$35</c:f>
              <c:numCache>
                <c:formatCode>#,##0</c:formatCode>
                <c:ptCount val="26"/>
                <c:pt idx="0">
                  <c:v>18347.733398</c:v>
                </c:pt>
                <c:pt idx="1">
                  <c:v>15899.8833</c:v>
                </c:pt>
                <c:pt idx="2">
                  <c:v>5016.8600260000003</c:v>
                </c:pt>
                <c:pt idx="3">
                  <c:v>17347.116860999999</c:v>
                </c:pt>
                <c:pt idx="4">
                  <c:v>14566.583495999999</c:v>
                </c:pt>
                <c:pt idx="5">
                  <c:v>4106.7133379999996</c:v>
                </c:pt>
                <c:pt idx="6">
                  <c:v>26103.299803999998</c:v>
                </c:pt>
                <c:pt idx="7">
                  <c:v>16357.833495999999</c:v>
                </c:pt>
                <c:pt idx="8">
                  <c:v>9781.9233390000009</c:v>
                </c:pt>
                <c:pt idx="9">
                  <c:v>11873.933268000001</c:v>
                </c:pt>
                <c:pt idx="10">
                  <c:v>3064</c:v>
                </c:pt>
                <c:pt idx="11">
                  <c:v>3955</c:v>
                </c:pt>
                <c:pt idx="12">
                  <c:v>11283.600097</c:v>
                </c:pt>
                <c:pt idx="13">
                  <c:v>12438.066731000001</c:v>
                </c:pt>
                <c:pt idx="14">
                  <c:v>3879.9216710000001</c:v>
                </c:pt>
                <c:pt idx="15">
                  <c:v>4758.4574380000004</c:v>
                </c:pt>
                <c:pt idx="16">
                  <c:v>5483.3316240000004</c:v>
                </c:pt>
                <c:pt idx="17">
                  <c:v>-1</c:v>
                </c:pt>
                <c:pt idx="18">
                  <c:v>8599</c:v>
                </c:pt>
                <c:pt idx="19">
                  <c:v>12387.799967000001</c:v>
                </c:pt>
                <c:pt idx="20" formatCode="_-* #,##0_-;\-* #,##0_-;_-* &quot;-&quot;??_-;_-@_-">
                  <c:v>7920.9982909999999</c:v>
                </c:pt>
                <c:pt idx="21" formatCode="_-* #,##0_-;\-* #,##0_-;_-* &quot;-&quot;??_-;_-@_-">
                  <c:v>7052.2592619999996</c:v>
                </c:pt>
                <c:pt idx="22" formatCode="_-* #,##0_-;\-* #,##0_-;_-* &quot;-&quot;??_-;_-@_-">
                  <c:v>7797.5383300000003</c:v>
                </c:pt>
                <c:pt idx="23" formatCode="_-* #,##0_-;\-* #,##0_-;_-* &quot;-&quot;??_-;_-@_-">
                  <c:v>7626</c:v>
                </c:pt>
                <c:pt idx="24" formatCode="_-* #,##0_-;\-* #,##0_-;_-* &quot;-&quot;??_-;_-@_-">
                  <c:v>8567.9300129999992</c:v>
                </c:pt>
                <c:pt idx="25" formatCode="_-* #,##0_-;\-* #,##0_-;_-* &quot;-&quot;??_-;_-@_-">
                  <c:v>10523.166503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182-4352-BE3A-5CD82CFFC7D6}"/>
            </c:ext>
          </c:extLst>
        </c:ser>
        <c:ser>
          <c:idx val="5"/>
          <c:order val="5"/>
          <c:tx>
            <c:strRef>
              <c:f>'Comportamiento Mensual Bancos'!$G$9</c:f>
              <c:strCache>
                <c:ptCount val="1"/>
                <c:pt idx="0">
                  <c:v>jun-21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Bancos'!$G$10:$G$35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0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182-4352-BE3A-5CD82CFFC7D6}"/>
            </c:ext>
          </c:extLst>
        </c:ser>
        <c:ser>
          <c:idx val="6"/>
          <c:order val="6"/>
          <c:tx>
            <c:strRef>
              <c:f>'Comportamiento Mensual Bancos'!$H$9</c:f>
              <c:strCache>
                <c:ptCount val="1"/>
                <c:pt idx="0">
                  <c:v>jul-21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Bancos'!$H$10:$H$35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0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182-4352-BE3A-5CD82CFFC7D6}"/>
            </c:ext>
          </c:extLst>
        </c:ser>
        <c:ser>
          <c:idx val="7"/>
          <c:order val="7"/>
          <c:tx>
            <c:strRef>
              <c:f>'Comportamiento Mensual Bancos'!$I$9</c:f>
              <c:strCache>
                <c:ptCount val="1"/>
                <c:pt idx="0">
                  <c:v>ago-21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Bancos'!$I$10:$I$35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0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F182-4352-BE3A-5CD82CFFC7D6}"/>
            </c:ext>
          </c:extLst>
        </c:ser>
        <c:ser>
          <c:idx val="8"/>
          <c:order val="8"/>
          <c:tx>
            <c:strRef>
              <c:f>'Comportamiento Mensual Bancos'!$J$9</c:f>
              <c:strCache>
                <c:ptCount val="1"/>
                <c:pt idx="0">
                  <c:v>sep-21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Bancos'!$J$10:$J$35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0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F182-4352-BE3A-5CD82CFFC7D6}"/>
            </c:ext>
          </c:extLst>
        </c:ser>
        <c:ser>
          <c:idx val="9"/>
          <c:order val="9"/>
          <c:tx>
            <c:strRef>
              <c:f>'Comportamiento Mensual Bancos'!$K$9</c:f>
              <c:strCache>
                <c:ptCount val="1"/>
                <c:pt idx="0">
                  <c:v>oct-21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Bancos'!$K$10:$K$35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0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F182-4352-BE3A-5CD82CFFC7D6}"/>
            </c:ext>
          </c:extLst>
        </c:ser>
        <c:ser>
          <c:idx val="10"/>
          <c:order val="10"/>
          <c:tx>
            <c:strRef>
              <c:f>'Comportamiento Mensual Bancos'!$L$9</c:f>
              <c:strCache>
                <c:ptCount val="1"/>
                <c:pt idx="0">
                  <c:v>nov-21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Bancos'!$L$10:$L$35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0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F182-4352-BE3A-5CD82CFFC7D6}"/>
            </c:ext>
          </c:extLst>
        </c:ser>
        <c:ser>
          <c:idx val="11"/>
          <c:order val="11"/>
          <c:tx>
            <c:strRef>
              <c:f>'Comportamiento Mensual Bancos'!$M$9</c:f>
              <c:strCache>
                <c:ptCount val="1"/>
                <c:pt idx="0">
                  <c:v>dic-21</c:v>
                </c:pt>
              </c:strCache>
            </c:strRef>
          </c:tx>
          <c:invertIfNegative val="0"/>
          <c:cat>
            <c:strRef>
              <c:f>'Comportamiento Mensual Bancos'!$A$10:$A$35</c:f>
              <c:strCache>
                <c:ptCount val="26"/>
                <c:pt idx="0">
                  <c:v>SAM-T1</c:v>
                </c:pt>
                <c:pt idx="1">
                  <c:v>SAM-T2</c:v>
                </c:pt>
                <c:pt idx="2">
                  <c:v>SAM-T3</c:v>
                </c:pt>
                <c:pt idx="3">
                  <c:v>KAL-T1</c:v>
                </c:pt>
                <c:pt idx="4">
                  <c:v>KAL-T2</c:v>
                </c:pt>
                <c:pt idx="5">
                  <c:v>LRA-T5</c:v>
                </c:pt>
                <c:pt idx="6">
                  <c:v>SAD-T1</c:v>
                </c:pt>
                <c:pt idx="7">
                  <c:v>AKI-T1</c:v>
                </c:pt>
                <c:pt idx="8">
                  <c:v>CMO-T1</c:v>
                </c:pt>
                <c:pt idx="9">
                  <c:v>CMO-T2</c:v>
                </c:pt>
                <c:pt idx="10">
                  <c:v>SHC-T1</c:v>
                </c:pt>
                <c:pt idx="11">
                  <c:v>SBP-T1</c:v>
                </c:pt>
                <c:pt idx="12">
                  <c:v>ESA-T2</c:v>
                </c:pt>
                <c:pt idx="13">
                  <c:v>ESA-T3</c:v>
                </c:pt>
                <c:pt idx="14">
                  <c:v>SBY-T1</c:v>
                </c:pt>
                <c:pt idx="15">
                  <c:v>CBU-T1</c:v>
                </c:pt>
                <c:pt idx="16">
                  <c:v>XPU-T1</c:v>
                </c:pt>
                <c:pt idx="17">
                  <c:v>SAU-T1</c:v>
                </c:pt>
                <c:pt idx="18">
                  <c:v>CDA-T1</c:v>
                </c:pt>
                <c:pt idx="19">
                  <c:v>CKD-T1</c:v>
                </c:pt>
                <c:pt idx="20">
                  <c:v>CYL-T1</c:v>
                </c:pt>
                <c:pt idx="21">
                  <c:v>CYL-T2</c:v>
                </c:pt>
                <c:pt idx="22">
                  <c:v>HCE-T1</c:v>
                </c:pt>
                <c:pt idx="23">
                  <c:v>HPN-T1</c:v>
                </c:pt>
                <c:pt idx="24">
                  <c:v>HOP-T1</c:v>
                </c:pt>
                <c:pt idx="25">
                  <c:v>CAS-T1</c:v>
                </c:pt>
              </c:strCache>
            </c:strRef>
          </c:cat>
          <c:val>
            <c:numRef>
              <c:f>'Comportamiento Mensual Bancos'!$M$10:$M$35</c:f>
              <c:numCache>
                <c:formatCode>#,##0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 formatCode="_-* #,##0_-;\-* #,##0_-;_-* &quot;-&quot;??_-;_-@_-">
                  <c:v>0</c:v>
                </c:pt>
                <c:pt idx="21" formatCode="_-* #,##0_-;\-* #,##0_-;_-* &quot;-&quot;??_-;_-@_-">
                  <c:v>0</c:v>
                </c:pt>
                <c:pt idx="22" formatCode="_-* #,##0_-;\-* #,##0_-;_-* &quot;-&quot;??_-;_-@_-">
                  <c:v>0</c:v>
                </c:pt>
                <c:pt idx="23" formatCode="_-* #,##0_-;\-* #,##0_-;_-* &quot;-&quot;??_-;_-@_-">
                  <c:v>0</c:v>
                </c:pt>
                <c:pt idx="24" formatCode="_-* #,##0_-;\-* #,##0_-;_-* &quot;-&quot;??_-;_-@_-">
                  <c:v>0</c:v>
                </c:pt>
                <c:pt idx="25" formatCode="_-* #,##0_-;\-* #,##0_-;_-* &quot;-&quot;??_-;_-@_-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F182-4352-BE3A-5CD82CFFC7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371370255"/>
        <c:axId val="1"/>
      </c:barChart>
      <c:catAx>
        <c:axId val="37137025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-270000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/>
        <c:numFmt formatCode="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371370255"/>
        <c:crosses val="autoZero"/>
        <c:crossBetween val="between"/>
        <c:majorUnit val="855"/>
      </c:valAx>
    </c:plotArea>
    <c:legend>
      <c:legendPos val="r"/>
      <c:layout>
        <c:manualLayout>
          <c:xMode val="edge"/>
          <c:yMode val="edge"/>
          <c:x val="0.95395040352535787"/>
          <c:y val="0.29684663345455825"/>
          <c:w val="3.4388983544533444E-2"/>
          <c:h val="0.39295681395828819"/>
        </c:manualLayout>
      </c:layout>
      <c:overlay val="0"/>
      <c:txPr>
        <a:bodyPr/>
        <a:lstStyle/>
        <a:p>
          <a:pPr>
            <a:defRPr sz="35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'Reporte SIMOCE'!$Q$125</c:f>
              <c:strCache>
                <c:ptCount val="1"/>
                <c:pt idx="0">
                  <c:v>Circuitos</c:v>
                </c:pt>
              </c:strCache>
            </c:strRef>
          </c:tx>
          <c:invertIfNegative val="0"/>
          <c:cat>
            <c:strRef>
              <c:f>'Reporte SIMOCE'!$P$126:$P$132</c:f>
              <c:strCache>
                <c:ptCount val="7"/>
                <c:pt idx="0">
                  <c:v>Lerma</c:v>
                </c:pt>
                <c:pt idx="1">
                  <c:v>Hecelchakan</c:v>
                </c:pt>
                <c:pt idx="2">
                  <c:v>Calkini</c:v>
                </c:pt>
                <c:pt idx="3">
                  <c:v>Sihochac</c:v>
                </c:pt>
                <c:pt idx="4">
                  <c:v>Champoton</c:v>
                </c:pt>
                <c:pt idx="5">
                  <c:v>Escarcega</c:v>
                </c:pt>
                <c:pt idx="6">
                  <c:v>Samuel</c:v>
                </c:pt>
              </c:strCache>
            </c:strRef>
          </c:cat>
          <c:val>
            <c:numRef>
              <c:f>'Reporte SIMOCE'!$Q$126:$Q$132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3</c:v>
                </c:pt>
                <c:pt idx="4">
                  <c:v>6</c:v>
                </c:pt>
                <c:pt idx="5">
                  <c:v>5</c:v>
                </c:pt>
                <c:pt idx="6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9F-45CE-8C3A-856212363AAF}"/>
            </c:ext>
          </c:extLst>
        </c:ser>
        <c:ser>
          <c:idx val="1"/>
          <c:order val="1"/>
          <c:tx>
            <c:strRef>
              <c:f>'Reporte SIMOCE'!$R$125</c:f>
              <c:strCache>
                <c:ptCount val="1"/>
                <c:pt idx="0">
                  <c:v>Transformador Potencia</c:v>
                </c:pt>
              </c:strCache>
            </c:strRef>
          </c:tx>
          <c:invertIfNegative val="0"/>
          <c:cat>
            <c:strRef>
              <c:f>'Reporte SIMOCE'!$P$126:$P$132</c:f>
              <c:strCache>
                <c:ptCount val="7"/>
                <c:pt idx="0">
                  <c:v>Lerma</c:v>
                </c:pt>
                <c:pt idx="1">
                  <c:v>Hecelchakan</c:v>
                </c:pt>
                <c:pt idx="2">
                  <c:v>Calkini</c:v>
                </c:pt>
                <c:pt idx="3">
                  <c:v>Sihochac</c:v>
                </c:pt>
                <c:pt idx="4">
                  <c:v>Champoton</c:v>
                </c:pt>
                <c:pt idx="5">
                  <c:v>Escarcega</c:v>
                </c:pt>
                <c:pt idx="6">
                  <c:v>Samuel</c:v>
                </c:pt>
              </c:strCache>
            </c:strRef>
          </c:cat>
          <c:val>
            <c:numRef>
              <c:f>'Reporte SIMOCE'!$R$126:$R$132</c:f>
              <c:numCache>
                <c:formatCode>General</c:formatCode>
                <c:ptCount val="7"/>
                <c:pt idx="0">
                  <c:v>1</c:v>
                </c:pt>
                <c:pt idx="1">
                  <c:v>1</c:v>
                </c:pt>
                <c:pt idx="2">
                  <c:v>0</c:v>
                </c:pt>
                <c:pt idx="3">
                  <c:v>2</c:v>
                </c:pt>
                <c:pt idx="4">
                  <c:v>2</c:v>
                </c:pt>
                <c:pt idx="5">
                  <c:v>2</c:v>
                </c:pt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B9F-45CE-8C3A-856212363A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74339567"/>
        <c:axId val="1"/>
      </c:barChart>
      <c:catAx>
        <c:axId val="47433956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-270000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39567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1688133608393643"/>
          <c:y val="0.43334838354316618"/>
          <c:w val="0.16207963017538421"/>
          <c:h val="0.10000347312534603"/>
        </c:manualLayout>
      </c:layout>
      <c:overlay val="0"/>
      <c:txPr>
        <a:bodyPr/>
        <a:lstStyle/>
        <a:p>
          <a:pPr>
            <a:defRPr sz="35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Circuitos con Mayor Demanda Cierre 2021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Hoja2!$F$3</c:f>
              <c:strCache>
                <c:ptCount val="1"/>
                <c:pt idx="0">
                  <c:v>Dem. Max.</c:v>
                </c:pt>
              </c:strCache>
            </c:strRef>
          </c:tx>
          <c:spPr>
            <a:solidFill>
              <a:srgbClr val="4F81BD"/>
            </a:solidFill>
            <a:ln w="25400">
              <a:noFill/>
            </a:ln>
          </c:spPr>
          <c:invertIfNegative val="0"/>
          <c:dLbls>
            <c:spPr>
              <a:noFill/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0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endParaRPr lang="es-MX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Hoja2!$E$4:$E$6</c:f>
              <c:strCache>
                <c:ptCount val="3"/>
                <c:pt idx="0">
                  <c:v>HOP-53015</c:v>
                </c:pt>
                <c:pt idx="1">
                  <c:v>CAS-53015</c:v>
                </c:pt>
                <c:pt idx="2">
                  <c:v>CMO-5220</c:v>
                </c:pt>
              </c:strCache>
            </c:strRef>
          </c:cat>
          <c:val>
            <c:numRef>
              <c:f>Hoja2!$F$4:$F$6</c:f>
              <c:numCache>
                <c:formatCode>_-* #,##0_-;\-* #,##0_-;_-* "-"??_-;_-@_-</c:formatCode>
                <c:ptCount val="3"/>
                <c:pt idx="0">
                  <c:v>8360</c:v>
                </c:pt>
                <c:pt idx="1">
                  <c:v>8029.8699539999998</c:v>
                </c:pt>
                <c:pt idx="2">
                  <c:v>6837.9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F7F-41F3-8094-15359D2955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4337487"/>
        <c:axId val="1"/>
      </c:barChart>
      <c:catAx>
        <c:axId val="47433748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2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Circuitos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2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_-* #,##0_-;\-* #,##0_-;_-* &quot;-&quot;??_-;_-@_-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37487"/>
        <c:crosses val="autoZero"/>
        <c:crossBetween val="between"/>
        <c:majorUnit val="150"/>
      </c:valAx>
      <c:spPr>
        <a:noFill/>
        <a:ln w="25400">
          <a:noFill/>
        </a:ln>
      </c:spPr>
    </c:plotArea>
    <c:plotVisOnly val="1"/>
    <c:dispBlanksAs val="gap"/>
    <c:showDLblsOverMax val="0"/>
  </c:chart>
  <c:spPr>
    <a:solidFill>
      <a:schemeClr val="accent3">
        <a:lumMod val="60000"/>
        <a:lumOff val="40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txPr>
        <a:bodyPr/>
        <a:lstStyle/>
        <a:p>
          <a:pPr>
            <a:defRPr sz="1800" b="1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title>
    <c:autoTitleDeleted val="0"/>
    <c:view3D>
      <c:rotX val="15"/>
      <c:rotY val="20"/>
      <c:depthPercent val="10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'Comportamiento Mensual Bancos'!$T$9</c:f>
              <c:strCache>
                <c:ptCount val="1"/>
                <c:pt idx="0">
                  <c:v>MAXIMO</c:v>
                </c:pt>
              </c:strCache>
            </c:strRef>
          </c:tx>
          <c:invertIfNegative val="0"/>
          <c:cat>
            <c:strRef>
              <c:f>'Comportamiento Mensual Bancos'!$S$10:$S$33</c:f>
              <c:strCache>
                <c:ptCount val="24"/>
                <c:pt idx="0">
                  <c:v>SAD-T1</c:v>
                </c:pt>
                <c:pt idx="1">
                  <c:v>SAM-T3</c:v>
                </c:pt>
                <c:pt idx="2">
                  <c:v>KAL-T1</c:v>
                </c:pt>
                <c:pt idx="3">
                  <c:v>AKI-T1</c:v>
                </c:pt>
                <c:pt idx="4">
                  <c:v>SAM-T2</c:v>
                </c:pt>
                <c:pt idx="5">
                  <c:v>CYL-T1</c:v>
                </c:pt>
                <c:pt idx="6">
                  <c:v>ESA-T2</c:v>
                </c:pt>
                <c:pt idx="7">
                  <c:v>KAL-T2</c:v>
                </c:pt>
                <c:pt idx="8">
                  <c:v>CKD-T1</c:v>
                </c:pt>
                <c:pt idx="9">
                  <c:v>ESA-T3</c:v>
                </c:pt>
                <c:pt idx="10">
                  <c:v>CMO-T2</c:v>
                </c:pt>
                <c:pt idx="11">
                  <c:v>CMO-T1</c:v>
                </c:pt>
                <c:pt idx="12">
                  <c:v>CYL-T2</c:v>
                </c:pt>
                <c:pt idx="13">
                  <c:v>CDA-T1</c:v>
                </c:pt>
                <c:pt idx="14">
                  <c:v>HPN-T1</c:v>
                </c:pt>
                <c:pt idx="15">
                  <c:v>HCE-T1</c:v>
                </c:pt>
                <c:pt idx="16">
                  <c:v>SBP-T1</c:v>
                </c:pt>
                <c:pt idx="17">
                  <c:v>XPU-T1</c:v>
                </c:pt>
                <c:pt idx="18">
                  <c:v>CBU-T1</c:v>
                </c:pt>
                <c:pt idx="19">
                  <c:v>SHC-T1</c:v>
                </c:pt>
                <c:pt idx="20">
                  <c:v>LRA-T5</c:v>
                </c:pt>
                <c:pt idx="21">
                  <c:v>SAM-T1</c:v>
                </c:pt>
                <c:pt idx="22">
                  <c:v>SBY-T1</c:v>
                </c:pt>
                <c:pt idx="23">
                  <c:v>SAU-T1</c:v>
                </c:pt>
              </c:strCache>
            </c:strRef>
          </c:cat>
          <c:val>
            <c:numRef>
              <c:f>'Comportamiento Mensual Bancos'!$T$10:$T$33</c:f>
              <c:numCache>
                <c:formatCode>#,##0</c:formatCode>
                <c:ptCount val="24"/>
                <c:pt idx="0">
                  <c:v>24515</c:v>
                </c:pt>
                <c:pt idx="1">
                  <c:v>21090</c:v>
                </c:pt>
                <c:pt idx="2">
                  <c:v>15880</c:v>
                </c:pt>
                <c:pt idx="3">
                  <c:v>15730</c:v>
                </c:pt>
                <c:pt idx="4">
                  <c:v>14800</c:v>
                </c:pt>
                <c:pt idx="5">
                  <c:v>14560</c:v>
                </c:pt>
                <c:pt idx="6">
                  <c:v>13856</c:v>
                </c:pt>
                <c:pt idx="7">
                  <c:v>13395</c:v>
                </c:pt>
                <c:pt idx="8">
                  <c:v>10650</c:v>
                </c:pt>
                <c:pt idx="9">
                  <c:v>10260</c:v>
                </c:pt>
                <c:pt idx="10">
                  <c:v>10216</c:v>
                </c:pt>
                <c:pt idx="11">
                  <c:v>8300</c:v>
                </c:pt>
                <c:pt idx="12">
                  <c:v>6897</c:v>
                </c:pt>
                <c:pt idx="13">
                  <c:v>6589</c:v>
                </c:pt>
                <c:pt idx="14">
                  <c:v>6375</c:v>
                </c:pt>
                <c:pt idx="15">
                  <c:v>5868</c:v>
                </c:pt>
                <c:pt idx="16">
                  <c:v>5480</c:v>
                </c:pt>
                <c:pt idx="17">
                  <c:v>5075</c:v>
                </c:pt>
                <c:pt idx="18">
                  <c:v>4985</c:v>
                </c:pt>
                <c:pt idx="19">
                  <c:v>3982</c:v>
                </c:pt>
                <c:pt idx="20">
                  <c:v>3680</c:v>
                </c:pt>
                <c:pt idx="21">
                  <c:v>3570</c:v>
                </c:pt>
                <c:pt idx="22">
                  <c:v>3555</c:v>
                </c:pt>
                <c:pt idx="23">
                  <c:v>1872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82-4756-8AA1-3213FFA412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74347471"/>
        <c:axId val="1"/>
        <c:axId val="0"/>
      </c:bar3DChart>
      <c:catAx>
        <c:axId val="47434747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-270000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/>
        <c:numFmt formatCode="#,##0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74347471"/>
        <c:crosses val="autoZero"/>
        <c:crossBetween val="between"/>
        <c:majorUnit val="855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94153414329777563"/>
          <c:y val="0.55061718978999263"/>
          <c:w val="4.6426732904229558E-2"/>
          <c:h val="3.2591048616853142E-2"/>
        </c:manualLayout>
      </c:layout>
      <c:overlay val="0"/>
      <c:txPr>
        <a:bodyPr/>
        <a:lstStyle/>
        <a:p>
          <a:pPr>
            <a:defRPr sz="35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Ahkimpech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'SE. AHKIMPECH'!$A$12</c:f>
              <c:strCache>
                <c:ptCount val="1"/>
                <c:pt idx="0">
                  <c:v>AKI04015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AHKIMPECH'!$C$13:$N$13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4321.7417800000003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C5C-4247-A076-13A7F893A381}"/>
            </c:ext>
          </c:extLst>
        </c:ser>
        <c:ser>
          <c:idx val="1"/>
          <c:order val="1"/>
          <c:tx>
            <c:strRef>
              <c:f>'SE. AHKIMPECH'!$A$19</c:f>
              <c:strCache>
                <c:ptCount val="1"/>
                <c:pt idx="0">
                  <c:v>AKI04025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AHKIMPECH'!$C$20:$N$20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3601.3290229999998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C5C-4247-A076-13A7F893A381}"/>
            </c:ext>
          </c:extLst>
        </c:ser>
        <c:ser>
          <c:idx val="2"/>
          <c:order val="2"/>
          <c:tx>
            <c:strRef>
              <c:f>'SE. AHKIMPECH'!$A$26</c:f>
              <c:strCache>
                <c:ptCount val="1"/>
                <c:pt idx="0">
                  <c:v>AKI04035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AHKIMPECH'!$C$27:$N$27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3775.0055419999999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C5C-4247-A076-13A7F893A381}"/>
            </c:ext>
          </c:extLst>
        </c:ser>
        <c:ser>
          <c:idx val="3"/>
          <c:order val="3"/>
          <c:tx>
            <c:strRef>
              <c:f>'SE. AHKIMPECH'!$A$33</c:f>
              <c:strCache>
                <c:ptCount val="1"/>
                <c:pt idx="0">
                  <c:v>AKI04045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AHKIMPECH'!$C$34:$N$34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4724.5716140000004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C5C-4247-A076-13A7F893A381}"/>
            </c:ext>
          </c:extLst>
        </c:ser>
        <c:ser>
          <c:idx val="4"/>
          <c:order val="4"/>
          <c:tx>
            <c:strRef>
              <c:f>'SE. AHKIMPECH'!$A$40</c:f>
              <c:strCache>
                <c:ptCount val="1"/>
                <c:pt idx="0">
                  <c:v>AKI04055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AHKIMPECH'!$C$41:$N$41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1723.0149939999999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C5C-4247-A076-13A7F893A3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717823"/>
        <c:axId val="1"/>
      </c:lineChart>
      <c:dateAx>
        <c:axId val="609717823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609717823"/>
        <c:crosses val="autoZero"/>
        <c:crossBetween val="between"/>
        <c:majorUnit val="250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28688822343336667"/>
          <c:y val="0.95216534650840479"/>
          <c:w val="0.41513541375370888"/>
          <c:h val="3.1048869994839284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Transformador de Potencia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'SE. AHKIMPECH'!$A$52</c:f>
              <c:strCache>
                <c:ptCount val="1"/>
                <c:pt idx="0">
                  <c:v>Banco 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'SE. AHKIMPECH'!$C$53:$N$53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16357.833495999999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726-4D05-8AC2-E5228ACF91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707423"/>
        <c:axId val="1"/>
      </c:lineChart>
      <c:dateAx>
        <c:axId val="60970742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1"/>
        <c:crosses val="autoZero"/>
        <c:auto val="1"/>
        <c:lblOffset val="100"/>
        <c:baseTimeUnit val="months"/>
        <c:minorUnit val="1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609707423"/>
        <c:crosses val="autoZero"/>
        <c:crossBetween val="between"/>
        <c:majorUnit val="40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5557001284834575"/>
          <c:y val="0.94895402181897814"/>
          <c:w val="7.7780246096059047E-2"/>
          <c:h val="3.225906023180662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r>
              <a:rPr lang="es-MX"/>
              <a:t>Comportamiento Circuitos SE. Chicbul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'S.E CHICBUL'!$A$12</c:f>
              <c:strCache>
                <c:ptCount val="1"/>
                <c:pt idx="0">
                  <c:v>CBU5010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CHICBUL'!$B$13:$N$13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2144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85-4A72-B357-3827AB872399}"/>
            </c:ext>
          </c:extLst>
        </c:ser>
        <c:ser>
          <c:idx val="1"/>
          <c:order val="1"/>
          <c:tx>
            <c:strRef>
              <c:f>'S.E CHICBUL'!$A$19</c:f>
              <c:strCache>
                <c:ptCount val="1"/>
                <c:pt idx="0">
                  <c:v>CBU5020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'S.E SAMULA II'!$B$9:$N$10</c:f>
              <c:strCache>
                <c:ptCount val="13"/>
                <c:pt idx="0">
                  <c:v>dic-21</c:v>
                </c:pt>
                <c:pt idx="1">
                  <c:v>ene-22</c:v>
                </c:pt>
                <c:pt idx="2">
                  <c:v>feb-22</c:v>
                </c:pt>
                <c:pt idx="3">
                  <c:v>mar-22</c:v>
                </c:pt>
                <c:pt idx="4">
                  <c:v>abr-22</c:v>
                </c:pt>
                <c:pt idx="5">
                  <c:v>may-22</c:v>
                </c:pt>
                <c:pt idx="6">
                  <c:v>jun-22</c:v>
                </c:pt>
                <c:pt idx="7">
                  <c:v>jul-22</c:v>
                </c:pt>
                <c:pt idx="8">
                  <c:v>ago-22</c:v>
                </c:pt>
                <c:pt idx="9">
                  <c:v>sep-22</c:v>
                </c:pt>
                <c:pt idx="10">
                  <c:v>oct-22</c:v>
                </c:pt>
                <c:pt idx="11">
                  <c:v>nov-22</c:v>
                </c:pt>
                <c:pt idx="12">
                  <c:v>dic-22</c:v>
                </c:pt>
              </c:strCache>
            </c:strRef>
          </c:cat>
          <c:val>
            <c:numRef>
              <c:f>'S.E CHICBUL'!$B$20:$N$20</c:f>
              <c:numCache>
                <c:formatCode>General</c:formatCode>
                <c:ptCount val="1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2144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85-4A72-B357-3827AB8723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8609839"/>
        <c:axId val="1"/>
      </c:lineChart>
      <c:dateAx>
        <c:axId val="468609839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Periodo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mmm\-yy" sourceLinked="1"/>
        <c:majorTickMark val="out"/>
        <c:minorTickMark val="none"/>
        <c:tickLblPos val="nextTo"/>
        <c:crossAx val="1"/>
        <c:crosses val="autoZero"/>
        <c:auto val="1"/>
        <c:lblOffset val="100"/>
        <c:baseTimeUnit val="months"/>
      </c:date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333333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MX"/>
                  <a:t>Demanda Kw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  <c:crossAx val="468609839"/>
        <c:crosses val="autoZero"/>
        <c:crossBetween val="between"/>
        <c:majorUnit val="105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/>
          <a:lstStyle/>
          <a:p>
            <a:pPr rtl="0">
              <a:defRPr sz="900" b="0" i="0" u="none" strike="noStrike" baseline="0">
                <a:solidFill>
                  <a:srgbClr val="333333"/>
                </a:solidFill>
                <a:latin typeface="Calibri"/>
                <a:ea typeface="Calibri"/>
                <a:cs typeface="Calibri"/>
              </a:defRPr>
            </a:pPr>
            <a:endParaRPr lang="es-MX"/>
          </a:p>
        </c:txPr>
      </c:dTable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40772228136524979"/>
          <c:y val="0.95222745075139081"/>
          <c:w val="0.17569123760648039"/>
          <c:h val="3.1008763660832266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825" b="0" i="0" u="none" strike="noStrike" baseline="0">
              <a:solidFill>
                <a:srgbClr val="333333"/>
              </a:solidFill>
              <a:latin typeface="Calibri"/>
              <a:ea typeface="Calibri"/>
              <a:cs typeface="Calibri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2.xml"/><Relationship Id="rId1" Type="http://schemas.openxmlformats.org/officeDocument/2006/relationships/chart" Target="../charts/chart21.xml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chart" Target="../charts/chart24.xml"/><Relationship Id="rId1" Type="http://schemas.openxmlformats.org/officeDocument/2006/relationships/chart" Target="../charts/chart23.xml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6.xml"/><Relationship Id="rId1" Type="http://schemas.openxmlformats.org/officeDocument/2006/relationships/chart" Target="../charts/chart25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9.xml"/><Relationship Id="rId2" Type="http://schemas.openxmlformats.org/officeDocument/2006/relationships/chart" Target="../charts/chart28.xml"/><Relationship Id="rId1" Type="http://schemas.openxmlformats.org/officeDocument/2006/relationships/chart" Target="../charts/chart27.xml"/><Relationship Id="rId4" Type="http://schemas.openxmlformats.org/officeDocument/2006/relationships/image" Target="../media/image1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chart" Target="../charts/chart31.xml"/><Relationship Id="rId1" Type="http://schemas.openxmlformats.org/officeDocument/2006/relationships/chart" Target="../charts/chart30.xml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3.xml"/><Relationship Id="rId1" Type="http://schemas.openxmlformats.org/officeDocument/2006/relationships/chart" Target="../charts/chart32.xml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5.xml"/><Relationship Id="rId1" Type="http://schemas.openxmlformats.org/officeDocument/2006/relationships/chart" Target="../charts/chart34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chart" Target="../charts/chart37.xml"/><Relationship Id="rId1" Type="http://schemas.openxmlformats.org/officeDocument/2006/relationships/chart" Target="../charts/chart36.xml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chart" Target="../charts/chart39.xml"/><Relationship Id="rId1" Type="http://schemas.openxmlformats.org/officeDocument/2006/relationships/chart" Target="../charts/chart38.xml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image" Target="../media/image1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chart" Target="../charts/chart41.xml"/><Relationship Id="rId1" Type="http://schemas.openxmlformats.org/officeDocument/2006/relationships/chart" Target="../charts/chart40.xml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3.xml"/><Relationship Id="rId1" Type="http://schemas.openxmlformats.org/officeDocument/2006/relationships/chart" Target="../charts/chart42.xml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chart" Target="../charts/chart45.xml"/><Relationship Id="rId1" Type="http://schemas.openxmlformats.org/officeDocument/2006/relationships/chart" Target="../charts/chart44.xml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chart" Target="../charts/chart47.xml"/><Relationship Id="rId1" Type="http://schemas.openxmlformats.org/officeDocument/2006/relationships/chart" Target="../charts/chart46.xml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0.xml"/><Relationship Id="rId2" Type="http://schemas.openxmlformats.org/officeDocument/2006/relationships/chart" Target="../charts/chart49.xml"/><Relationship Id="rId1" Type="http://schemas.openxmlformats.org/officeDocument/2006/relationships/chart" Target="../charts/chart48.xml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image" Target="../media/image1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4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4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4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30</xdr:col>
      <xdr:colOff>22860</xdr:colOff>
      <xdr:row>37</xdr:row>
      <xdr:rowOff>7620</xdr:rowOff>
    </xdr:from>
    <xdr:to>
      <xdr:col>43</xdr:col>
      <xdr:colOff>533400</xdr:colOff>
      <xdr:row>66</xdr:row>
      <xdr:rowOff>144780</xdr:rowOff>
    </xdr:to>
    <xdr:graphicFrame macro="">
      <xdr:nvGraphicFramePr>
        <xdr:cNvPr id="17866944" name="Gráfico 1">
          <a:extLst>
            <a:ext uri="{FF2B5EF4-FFF2-40B4-BE49-F238E27FC236}">
              <a16:creationId xmlns:a16="http://schemas.microsoft.com/office/drawing/2014/main" id="{857C75B5-3952-90DB-494E-E8A8AC2AC5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30</xdr:col>
      <xdr:colOff>30480</xdr:colOff>
      <xdr:row>68</xdr:row>
      <xdr:rowOff>30480</xdr:rowOff>
    </xdr:from>
    <xdr:to>
      <xdr:col>43</xdr:col>
      <xdr:colOff>594360</xdr:colOff>
      <xdr:row>102</xdr:row>
      <xdr:rowOff>106680</xdr:rowOff>
    </xdr:to>
    <xdr:graphicFrame macro="">
      <xdr:nvGraphicFramePr>
        <xdr:cNvPr id="17866945" name="Gráfico 1">
          <a:extLst>
            <a:ext uri="{FF2B5EF4-FFF2-40B4-BE49-F238E27FC236}">
              <a16:creationId xmlns:a16="http://schemas.microsoft.com/office/drawing/2014/main" id="{4A745126-D1CF-E6B1-330B-2BCE39D4969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30</xdr:col>
      <xdr:colOff>38100</xdr:colOff>
      <xdr:row>1</xdr:row>
      <xdr:rowOff>22860</xdr:rowOff>
    </xdr:from>
    <xdr:to>
      <xdr:col>44</xdr:col>
      <xdr:colOff>464820</xdr:colOff>
      <xdr:row>36</xdr:row>
      <xdr:rowOff>0</xdr:rowOff>
    </xdr:to>
    <xdr:graphicFrame macro="">
      <xdr:nvGraphicFramePr>
        <xdr:cNvPr id="17866946" name="Gráfico 1">
          <a:extLst>
            <a:ext uri="{FF2B5EF4-FFF2-40B4-BE49-F238E27FC236}">
              <a16:creationId xmlns:a16="http://schemas.microsoft.com/office/drawing/2014/main" id="{0F050BDD-3F81-3171-F2A8-AB33787CA65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769620</xdr:colOff>
      <xdr:row>46</xdr:row>
      <xdr:rowOff>30480</xdr:rowOff>
    </xdr:to>
    <xdr:graphicFrame macro="">
      <xdr:nvGraphicFramePr>
        <xdr:cNvPr id="494913" name="Gráfico 1">
          <a:extLst>
            <a:ext uri="{FF2B5EF4-FFF2-40B4-BE49-F238E27FC236}">
              <a16:creationId xmlns:a16="http://schemas.microsoft.com/office/drawing/2014/main" id="{01569E8C-2349-50CA-FBE3-2E18EACFA7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29</xdr:col>
      <xdr:colOff>784860</xdr:colOff>
      <xdr:row>68</xdr:row>
      <xdr:rowOff>0</xdr:rowOff>
    </xdr:to>
    <xdr:graphicFrame macro="">
      <xdr:nvGraphicFramePr>
        <xdr:cNvPr id="494914" name="Gráfico 2">
          <a:extLst>
            <a:ext uri="{FF2B5EF4-FFF2-40B4-BE49-F238E27FC236}">
              <a16:creationId xmlns:a16="http://schemas.microsoft.com/office/drawing/2014/main" id="{0B2F18C1-8592-DB72-A0E2-2B3C17DEDE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9525</xdr:colOff>
      <xdr:row>13</xdr:row>
      <xdr:rowOff>136525</xdr:rowOff>
    </xdr:from>
    <xdr:to>
      <xdr:col>29</xdr:col>
      <xdr:colOff>575321</xdr:colOff>
      <xdr:row>13</xdr:row>
      <xdr:rowOff>136525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A2F08267-4B9D-8255-AF71-2086E36E7802}"/>
            </a:ext>
          </a:extLst>
        </xdr:cNvPr>
        <xdr:cNvCxnSpPr/>
      </xdr:nvCxnSpPr>
      <xdr:spPr>
        <a:xfrm>
          <a:off x="17202150" y="2286000"/>
          <a:ext cx="89249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69</xdr:row>
      <xdr:rowOff>0</xdr:rowOff>
    </xdr:from>
    <xdr:to>
      <xdr:col>4</xdr:col>
      <xdr:colOff>144780</xdr:colOff>
      <xdr:row>72</xdr:row>
      <xdr:rowOff>99060</xdr:rowOff>
    </xdr:to>
    <xdr:pic>
      <xdr:nvPicPr>
        <xdr:cNvPr id="494916" name="Imagen 1">
          <a:extLst>
            <a:ext uri="{FF2B5EF4-FFF2-40B4-BE49-F238E27FC236}">
              <a16:creationId xmlns:a16="http://schemas.microsoft.com/office/drawing/2014/main" id="{8B3933FB-2A7A-F8CC-9E9F-D496415A54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597640"/>
          <a:ext cx="4396740" cy="601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70</xdr:row>
      <xdr:rowOff>95543</xdr:rowOff>
    </xdr:from>
    <xdr:to>
      <xdr:col>8</xdr:col>
      <xdr:colOff>43962</xdr:colOff>
      <xdr:row>71</xdr:row>
      <xdr:rowOff>161484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FDC6D56E-F05A-D476-07A0-3A263BED4D79}"/>
            </a:ext>
          </a:extLst>
        </xdr:cNvPr>
        <xdr:cNvSpPr/>
      </xdr:nvSpPr>
      <xdr:spPr>
        <a:xfrm>
          <a:off x="0" y="11400692"/>
          <a:ext cx="4191000" cy="227134"/>
        </a:xfrm>
        <a:prstGeom prst="rect">
          <a:avLst/>
        </a:prstGeom>
        <a:noFill/>
        <a:ln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MX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22860</xdr:colOff>
      <xdr:row>11</xdr:row>
      <xdr:rowOff>0</xdr:rowOff>
    </xdr:from>
    <xdr:to>
      <xdr:col>31</xdr:col>
      <xdr:colOff>0</xdr:colOff>
      <xdr:row>46</xdr:row>
      <xdr:rowOff>30480</xdr:rowOff>
    </xdr:to>
    <xdr:graphicFrame macro="">
      <xdr:nvGraphicFramePr>
        <xdr:cNvPr id="501953" name="Gráfico 1">
          <a:extLst>
            <a:ext uri="{FF2B5EF4-FFF2-40B4-BE49-F238E27FC236}">
              <a16:creationId xmlns:a16="http://schemas.microsoft.com/office/drawing/2014/main" id="{D64EFD7F-550C-BB1F-2A92-7EBA0E8CA1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22860</xdr:colOff>
      <xdr:row>47</xdr:row>
      <xdr:rowOff>38100</xdr:rowOff>
    </xdr:from>
    <xdr:to>
      <xdr:col>31</xdr:col>
      <xdr:colOff>7620</xdr:colOff>
      <xdr:row>81</xdr:row>
      <xdr:rowOff>7620</xdr:rowOff>
    </xdr:to>
    <xdr:graphicFrame macro="">
      <xdr:nvGraphicFramePr>
        <xdr:cNvPr id="501954" name="Gráfico 7">
          <a:extLst>
            <a:ext uri="{FF2B5EF4-FFF2-40B4-BE49-F238E27FC236}">
              <a16:creationId xmlns:a16="http://schemas.microsoft.com/office/drawing/2014/main" id="{9E09BF11-157A-F32C-60A2-573B3706F7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19</xdr:col>
      <xdr:colOff>76200</xdr:colOff>
      <xdr:row>17</xdr:row>
      <xdr:rowOff>76200</xdr:rowOff>
    </xdr:from>
    <xdr:to>
      <xdr:col>30</xdr:col>
      <xdr:colOff>649594</xdr:colOff>
      <xdr:row>17</xdr:row>
      <xdr:rowOff>76200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4133D2AF-8A53-2B1D-BA93-629D6F4BF909}"/>
            </a:ext>
          </a:extLst>
        </xdr:cNvPr>
        <xdr:cNvCxnSpPr/>
      </xdr:nvCxnSpPr>
      <xdr:spPr>
        <a:xfrm>
          <a:off x="18392775" y="2867025"/>
          <a:ext cx="89249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236220</xdr:colOff>
      <xdr:row>10</xdr:row>
      <xdr:rowOff>167640</xdr:rowOff>
    </xdr:from>
    <xdr:to>
      <xdr:col>30</xdr:col>
      <xdr:colOff>220980</xdr:colOff>
      <xdr:row>46</xdr:row>
      <xdr:rowOff>22860</xdr:rowOff>
    </xdr:to>
    <xdr:graphicFrame macro="">
      <xdr:nvGraphicFramePr>
        <xdr:cNvPr id="511209" name="Gráfico 1">
          <a:extLst>
            <a:ext uri="{FF2B5EF4-FFF2-40B4-BE49-F238E27FC236}">
              <a16:creationId xmlns:a16="http://schemas.microsoft.com/office/drawing/2014/main" id="{87A5B591-5089-1F94-61FF-1FEE5473CD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0</xdr:rowOff>
    </xdr:from>
    <xdr:to>
      <xdr:col>29</xdr:col>
      <xdr:colOff>784860</xdr:colOff>
      <xdr:row>68</xdr:row>
      <xdr:rowOff>7620</xdr:rowOff>
    </xdr:to>
    <xdr:graphicFrame macro="">
      <xdr:nvGraphicFramePr>
        <xdr:cNvPr id="511210" name="Gráfico 2">
          <a:extLst>
            <a:ext uri="{FF2B5EF4-FFF2-40B4-BE49-F238E27FC236}">
              <a16:creationId xmlns:a16="http://schemas.microsoft.com/office/drawing/2014/main" id="{EC7A4F2E-944D-0360-F8C7-BE50E98ED5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66675</xdr:colOff>
      <xdr:row>13</xdr:row>
      <xdr:rowOff>160020</xdr:rowOff>
    </xdr:from>
    <xdr:to>
      <xdr:col>29</xdr:col>
      <xdr:colOff>632452</xdr:colOff>
      <xdr:row>13</xdr:row>
      <xdr:rowOff>160020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6858436D-20FD-3F6E-2582-98DC14AD1214}"/>
            </a:ext>
          </a:extLst>
        </xdr:cNvPr>
        <xdr:cNvCxnSpPr/>
      </xdr:nvCxnSpPr>
      <xdr:spPr>
        <a:xfrm>
          <a:off x="17068800" y="2295525"/>
          <a:ext cx="89249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47</xdr:row>
      <xdr:rowOff>0</xdr:rowOff>
    </xdr:from>
    <xdr:to>
      <xdr:col>11</xdr:col>
      <xdr:colOff>548640</xdr:colOff>
      <xdr:row>49</xdr:row>
      <xdr:rowOff>0</xdr:rowOff>
    </xdr:to>
    <xdr:pic>
      <xdr:nvPicPr>
        <xdr:cNvPr id="511212" name="Imagen 1">
          <a:extLst>
            <a:ext uri="{FF2B5EF4-FFF2-40B4-BE49-F238E27FC236}">
              <a16:creationId xmlns:a16="http://schemas.microsoft.com/office/drawing/2014/main" id="{621433F4-8916-779A-C1B2-F1727BB847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9560"/>
          <a:ext cx="12123420" cy="335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7620</xdr:colOff>
      <xdr:row>11</xdr:row>
      <xdr:rowOff>0</xdr:rowOff>
    </xdr:from>
    <xdr:to>
      <xdr:col>29</xdr:col>
      <xdr:colOff>784860</xdr:colOff>
      <xdr:row>46</xdr:row>
      <xdr:rowOff>30480</xdr:rowOff>
    </xdr:to>
    <xdr:graphicFrame macro="">
      <xdr:nvGraphicFramePr>
        <xdr:cNvPr id="516289" name="Gráfico 1">
          <a:extLst>
            <a:ext uri="{FF2B5EF4-FFF2-40B4-BE49-F238E27FC236}">
              <a16:creationId xmlns:a16="http://schemas.microsoft.com/office/drawing/2014/main" id="{90A920EC-127F-499D-F33E-00E19F7EE63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74295</xdr:colOff>
      <xdr:row>19</xdr:row>
      <xdr:rowOff>90170</xdr:rowOff>
    </xdr:from>
    <xdr:to>
      <xdr:col>29</xdr:col>
      <xdr:colOff>632454</xdr:colOff>
      <xdr:row>19</xdr:row>
      <xdr:rowOff>90170</xdr:rowOff>
    </xdr:to>
    <xdr:cxnSp macro="">
      <xdr:nvCxnSpPr>
        <xdr:cNvPr id="7" name="Conector recto 6">
          <a:extLst>
            <a:ext uri="{FF2B5EF4-FFF2-40B4-BE49-F238E27FC236}">
              <a16:creationId xmlns:a16="http://schemas.microsoft.com/office/drawing/2014/main" id="{B8D2BD7F-3F4E-9120-794D-70AA539ADB42}"/>
            </a:ext>
          </a:extLst>
        </xdr:cNvPr>
        <xdr:cNvCxnSpPr/>
      </xdr:nvCxnSpPr>
      <xdr:spPr>
        <a:xfrm>
          <a:off x="17383125" y="3200400"/>
          <a:ext cx="89249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7620</xdr:colOff>
      <xdr:row>47</xdr:row>
      <xdr:rowOff>38100</xdr:rowOff>
    </xdr:from>
    <xdr:to>
      <xdr:col>30</xdr:col>
      <xdr:colOff>0</xdr:colOff>
      <xdr:row>81</xdr:row>
      <xdr:rowOff>7620</xdr:rowOff>
    </xdr:to>
    <xdr:graphicFrame macro="">
      <xdr:nvGraphicFramePr>
        <xdr:cNvPr id="516291" name="Gráfico 7">
          <a:extLst>
            <a:ext uri="{FF2B5EF4-FFF2-40B4-BE49-F238E27FC236}">
              <a16:creationId xmlns:a16="http://schemas.microsoft.com/office/drawing/2014/main" id="{9E2C703D-9570-E49D-23EA-7D3BB39C42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754380</xdr:colOff>
      <xdr:row>46</xdr:row>
      <xdr:rowOff>38100</xdr:rowOff>
    </xdr:to>
    <xdr:graphicFrame macro="">
      <xdr:nvGraphicFramePr>
        <xdr:cNvPr id="1354048" name="Gráfico 1">
          <a:extLst>
            <a:ext uri="{FF2B5EF4-FFF2-40B4-BE49-F238E27FC236}">
              <a16:creationId xmlns:a16="http://schemas.microsoft.com/office/drawing/2014/main" id="{7C374426-B89A-9902-163A-8D25B3E7B5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45720</xdr:rowOff>
    </xdr:from>
    <xdr:to>
      <xdr:col>29</xdr:col>
      <xdr:colOff>762000</xdr:colOff>
      <xdr:row>81</xdr:row>
      <xdr:rowOff>22860</xdr:rowOff>
    </xdr:to>
    <xdr:graphicFrame macro="">
      <xdr:nvGraphicFramePr>
        <xdr:cNvPr id="1354049" name="Gráfico 2">
          <a:extLst>
            <a:ext uri="{FF2B5EF4-FFF2-40B4-BE49-F238E27FC236}">
              <a16:creationId xmlns:a16="http://schemas.microsoft.com/office/drawing/2014/main" id="{3394E6AE-B73D-33E2-9C51-4813F837B2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0</xdr:colOff>
      <xdr:row>82</xdr:row>
      <xdr:rowOff>0</xdr:rowOff>
    </xdr:from>
    <xdr:to>
      <xdr:col>29</xdr:col>
      <xdr:colOff>754380</xdr:colOff>
      <xdr:row>117</xdr:row>
      <xdr:rowOff>30480</xdr:rowOff>
    </xdr:to>
    <xdr:graphicFrame macro="">
      <xdr:nvGraphicFramePr>
        <xdr:cNvPr id="1354050" name="Gráfico 1">
          <a:extLst>
            <a:ext uri="{FF2B5EF4-FFF2-40B4-BE49-F238E27FC236}">
              <a16:creationId xmlns:a16="http://schemas.microsoft.com/office/drawing/2014/main" id="{5799CA52-341F-5588-0AAF-777AA71D322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9525</xdr:colOff>
      <xdr:row>15</xdr:row>
      <xdr:rowOff>140970</xdr:rowOff>
    </xdr:from>
    <xdr:to>
      <xdr:col>29</xdr:col>
      <xdr:colOff>575321</xdr:colOff>
      <xdr:row>15</xdr:row>
      <xdr:rowOff>140970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00DA3BA8-8510-A254-214B-DAD54D71615F}"/>
            </a:ext>
          </a:extLst>
        </xdr:cNvPr>
        <xdr:cNvCxnSpPr/>
      </xdr:nvCxnSpPr>
      <xdr:spPr>
        <a:xfrm>
          <a:off x="17316450" y="2600325"/>
          <a:ext cx="89249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181</xdr:row>
      <xdr:rowOff>22860</xdr:rowOff>
    </xdr:from>
    <xdr:to>
      <xdr:col>6</xdr:col>
      <xdr:colOff>624840</xdr:colOff>
      <xdr:row>208</xdr:row>
      <xdr:rowOff>144780</xdr:rowOff>
    </xdr:to>
    <xdr:pic>
      <xdr:nvPicPr>
        <xdr:cNvPr id="1354052" name="Imagen 2">
          <a:extLst>
            <a:ext uri="{FF2B5EF4-FFF2-40B4-BE49-F238E27FC236}">
              <a16:creationId xmlns:a16="http://schemas.microsoft.com/office/drawing/2014/main" id="{E0C71182-D6D3-3BE7-C68A-C59755CFC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653" t="12212" r="6216" b="12076"/>
        <a:stretch>
          <a:fillRect/>
        </a:stretch>
      </xdr:blipFill>
      <xdr:spPr bwMode="auto">
        <a:xfrm>
          <a:off x="0" y="30380940"/>
          <a:ext cx="7056120" cy="464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769620</xdr:colOff>
      <xdr:row>46</xdr:row>
      <xdr:rowOff>30480</xdr:rowOff>
    </xdr:to>
    <xdr:graphicFrame macro="">
      <xdr:nvGraphicFramePr>
        <xdr:cNvPr id="528540" name="Gráfico 1">
          <a:extLst>
            <a:ext uri="{FF2B5EF4-FFF2-40B4-BE49-F238E27FC236}">
              <a16:creationId xmlns:a16="http://schemas.microsoft.com/office/drawing/2014/main" id="{E4475ACF-09EF-B0EF-1569-3356F177BD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29</xdr:col>
      <xdr:colOff>784860</xdr:colOff>
      <xdr:row>55</xdr:row>
      <xdr:rowOff>0</xdr:rowOff>
    </xdr:to>
    <xdr:graphicFrame macro="">
      <xdr:nvGraphicFramePr>
        <xdr:cNvPr id="528541" name="Gráfico 2">
          <a:extLst>
            <a:ext uri="{FF2B5EF4-FFF2-40B4-BE49-F238E27FC236}">
              <a16:creationId xmlns:a16="http://schemas.microsoft.com/office/drawing/2014/main" id="{53C9EDCD-383E-0278-A06F-F96FB4FA38A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114300</xdr:colOff>
      <xdr:row>55</xdr:row>
      <xdr:rowOff>144780</xdr:rowOff>
    </xdr:to>
    <xdr:pic>
      <xdr:nvPicPr>
        <xdr:cNvPr id="528542" name="Imagen 1">
          <a:extLst>
            <a:ext uri="{FF2B5EF4-FFF2-40B4-BE49-F238E27FC236}">
              <a16:creationId xmlns:a16="http://schemas.microsoft.com/office/drawing/2014/main" id="{1973631B-85AD-A947-39EB-BC0E24267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83040"/>
          <a:ext cx="12016740" cy="3124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769620</xdr:colOff>
      <xdr:row>46</xdr:row>
      <xdr:rowOff>30480</xdr:rowOff>
    </xdr:to>
    <xdr:graphicFrame macro="">
      <xdr:nvGraphicFramePr>
        <xdr:cNvPr id="6888576" name="Gráfico 1">
          <a:extLst>
            <a:ext uri="{FF2B5EF4-FFF2-40B4-BE49-F238E27FC236}">
              <a16:creationId xmlns:a16="http://schemas.microsoft.com/office/drawing/2014/main" id="{FF9730D8-9F6F-4A1D-65F8-D455A8CD97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29</xdr:col>
      <xdr:colOff>784860</xdr:colOff>
      <xdr:row>55</xdr:row>
      <xdr:rowOff>0</xdr:rowOff>
    </xdr:to>
    <xdr:graphicFrame macro="">
      <xdr:nvGraphicFramePr>
        <xdr:cNvPr id="6888577" name="Gráfico 2">
          <a:extLst>
            <a:ext uri="{FF2B5EF4-FFF2-40B4-BE49-F238E27FC236}">
              <a16:creationId xmlns:a16="http://schemas.microsoft.com/office/drawing/2014/main" id="{CC616DC6-F5CA-8B0D-698D-6AEDF1189D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289560</xdr:colOff>
      <xdr:row>11</xdr:row>
      <xdr:rowOff>7620</xdr:rowOff>
    </xdr:from>
    <xdr:to>
      <xdr:col>30</xdr:col>
      <xdr:colOff>266700</xdr:colOff>
      <xdr:row>46</xdr:row>
      <xdr:rowOff>38100</xdr:rowOff>
    </xdr:to>
    <xdr:graphicFrame macro="">
      <xdr:nvGraphicFramePr>
        <xdr:cNvPr id="13308032" name="Gráfico 1">
          <a:extLst>
            <a:ext uri="{FF2B5EF4-FFF2-40B4-BE49-F238E27FC236}">
              <a16:creationId xmlns:a16="http://schemas.microsoft.com/office/drawing/2014/main" id="{F5B03D66-0575-7EC1-3E0A-7DB6040FBDD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29</xdr:col>
      <xdr:colOff>784860</xdr:colOff>
      <xdr:row>55</xdr:row>
      <xdr:rowOff>0</xdr:rowOff>
    </xdr:to>
    <xdr:graphicFrame macro="">
      <xdr:nvGraphicFramePr>
        <xdr:cNvPr id="13308033" name="Gráfico 2">
          <a:extLst>
            <a:ext uri="{FF2B5EF4-FFF2-40B4-BE49-F238E27FC236}">
              <a16:creationId xmlns:a16="http://schemas.microsoft.com/office/drawing/2014/main" id="{B31CD565-CC2F-6330-1B32-9D945658E4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28</xdr:col>
      <xdr:colOff>670560</xdr:colOff>
      <xdr:row>46</xdr:row>
      <xdr:rowOff>30480</xdr:rowOff>
    </xdr:to>
    <xdr:graphicFrame macro="">
      <xdr:nvGraphicFramePr>
        <xdr:cNvPr id="544217" name="Gráfico 1">
          <a:extLst>
            <a:ext uri="{FF2B5EF4-FFF2-40B4-BE49-F238E27FC236}">
              <a16:creationId xmlns:a16="http://schemas.microsoft.com/office/drawing/2014/main" id="{0B94A28F-FA7B-853E-FCCE-69F054ED59E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28</xdr:col>
      <xdr:colOff>685800</xdr:colOff>
      <xdr:row>81</xdr:row>
      <xdr:rowOff>7620</xdr:rowOff>
    </xdr:to>
    <xdr:graphicFrame macro="">
      <xdr:nvGraphicFramePr>
        <xdr:cNvPr id="544218" name="Gráfico 2">
          <a:extLst>
            <a:ext uri="{FF2B5EF4-FFF2-40B4-BE49-F238E27FC236}">
              <a16:creationId xmlns:a16="http://schemas.microsoft.com/office/drawing/2014/main" id="{836AD8AF-2336-9FA7-9677-3F72864BE77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85</xdr:row>
      <xdr:rowOff>38100</xdr:rowOff>
    </xdr:from>
    <xdr:to>
      <xdr:col>3</xdr:col>
      <xdr:colOff>1051560</xdr:colOff>
      <xdr:row>97</xdr:row>
      <xdr:rowOff>121920</xdr:rowOff>
    </xdr:to>
    <xdr:pic>
      <xdr:nvPicPr>
        <xdr:cNvPr id="544219" name="Imagen 2">
          <a:extLst>
            <a:ext uri="{FF2B5EF4-FFF2-40B4-BE49-F238E27FC236}">
              <a16:creationId xmlns:a16="http://schemas.microsoft.com/office/drawing/2014/main" id="{6DFAE57F-4DC2-AE43-4D3F-D1C8FE94A9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317980"/>
          <a:ext cx="4274820" cy="2095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100</xdr:row>
      <xdr:rowOff>30480</xdr:rowOff>
    </xdr:from>
    <xdr:to>
      <xdr:col>6</xdr:col>
      <xdr:colOff>1051560</xdr:colOff>
      <xdr:row>127</xdr:row>
      <xdr:rowOff>121920</xdr:rowOff>
    </xdr:to>
    <xdr:pic>
      <xdr:nvPicPr>
        <xdr:cNvPr id="544220" name="Imagen 3">
          <a:extLst>
            <a:ext uri="{FF2B5EF4-FFF2-40B4-BE49-F238E27FC236}">
              <a16:creationId xmlns:a16="http://schemas.microsoft.com/office/drawing/2014/main" id="{A74BFB11-627D-016D-1018-2E70CADBE6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653" t="13432" r="6618" b="10448"/>
        <a:stretch>
          <a:fillRect/>
        </a:stretch>
      </xdr:blipFill>
      <xdr:spPr bwMode="auto">
        <a:xfrm>
          <a:off x="0" y="16824960"/>
          <a:ext cx="7498080" cy="46177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133</xdr:row>
      <xdr:rowOff>45720</xdr:rowOff>
    </xdr:from>
    <xdr:to>
      <xdr:col>6</xdr:col>
      <xdr:colOff>1051560</xdr:colOff>
      <xdr:row>161</xdr:row>
      <xdr:rowOff>160020</xdr:rowOff>
    </xdr:to>
    <xdr:pic>
      <xdr:nvPicPr>
        <xdr:cNvPr id="544221" name="Imagen 4">
          <a:extLst>
            <a:ext uri="{FF2B5EF4-FFF2-40B4-BE49-F238E27FC236}">
              <a16:creationId xmlns:a16="http://schemas.microsoft.com/office/drawing/2014/main" id="{9F9C6626-8C70-862F-55D9-37A17CD40F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521" t="12212" r="6352" b="10855"/>
        <a:stretch>
          <a:fillRect/>
        </a:stretch>
      </xdr:blipFill>
      <xdr:spPr bwMode="auto">
        <a:xfrm>
          <a:off x="0" y="22372320"/>
          <a:ext cx="7498080" cy="48082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164</xdr:row>
      <xdr:rowOff>22860</xdr:rowOff>
    </xdr:from>
    <xdr:to>
      <xdr:col>6</xdr:col>
      <xdr:colOff>762000</xdr:colOff>
      <xdr:row>192</xdr:row>
      <xdr:rowOff>144780</xdr:rowOff>
    </xdr:to>
    <xdr:pic>
      <xdr:nvPicPr>
        <xdr:cNvPr id="544222" name="Imagen 5">
          <a:extLst>
            <a:ext uri="{FF2B5EF4-FFF2-40B4-BE49-F238E27FC236}">
              <a16:creationId xmlns:a16="http://schemas.microsoft.com/office/drawing/2014/main" id="{91DC9C70-46E4-0401-15F5-2E2E450432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653" t="10178" r="6216" b="13298"/>
        <a:stretch>
          <a:fillRect/>
        </a:stretch>
      </xdr:blipFill>
      <xdr:spPr bwMode="auto">
        <a:xfrm>
          <a:off x="0" y="27546300"/>
          <a:ext cx="7208520" cy="4815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86</xdr:row>
      <xdr:rowOff>95545</xdr:rowOff>
    </xdr:from>
    <xdr:to>
      <xdr:col>8</xdr:col>
      <xdr:colOff>0</xdr:colOff>
      <xdr:row>87</xdr:row>
      <xdr:rowOff>161487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1D624450-C56C-B703-D292-C618C8EF21D1}"/>
            </a:ext>
          </a:extLst>
        </xdr:cNvPr>
        <xdr:cNvSpPr/>
      </xdr:nvSpPr>
      <xdr:spPr>
        <a:xfrm>
          <a:off x="0" y="13979771"/>
          <a:ext cx="4191000" cy="227134"/>
        </a:xfrm>
        <a:prstGeom prst="rect">
          <a:avLst/>
        </a:prstGeom>
        <a:noFill/>
        <a:ln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MX"/>
        </a:p>
      </xdr:txBody>
    </xdr:sp>
    <xdr:clientData/>
  </xdr:twoCellAnchor>
  <xdr:twoCellAnchor editAs="oneCell">
    <xdr:from>
      <xdr:col>0</xdr:col>
      <xdr:colOff>0</xdr:colOff>
      <xdr:row>197</xdr:row>
      <xdr:rowOff>0</xdr:rowOff>
    </xdr:from>
    <xdr:to>
      <xdr:col>4</xdr:col>
      <xdr:colOff>655320</xdr:colOff>
      <xdr:row>225</xdr:row>
      <xdr:rowOff>45720</xdr:rowOff>
    </xdr:to>
    <xdr:pic>
      <xdr:nvPicPr>
        <xdr:cNvPr id="544224" name="Imagen 1">
          <a:extLst>
            <a:ext uri="{FF2B5EF4-FFF2-40B4-BE49-F238E27FC236}">
              <a16:creationId xmlns:a16="http://schemas.microsoft.com/office/drawing/2014/main" id="{B5AA1291-FC83-4A60-77E5-82D58912E1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055560"/>
          <a:ext cx="4953000" cy="473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769620</xdr:colOff>
      <xdr:row>46</xdr:row>
      <xdr:rowOff>30480</xdr:rowOff>
    </xdr:to>
    <xdr:graphicFrame macro="">
      <xdr:nvGraphicFramePr>
        <xdr:cNvPr id="547201" name="Gráfico 1">
          <a:extLst>
            <a:ext uri="{FF2B5EF4-FFF2-40B4-BE49-F238E27FC236}">
              <a16:creationId xmlns:a16="http://schemas.microsoft.com/office/drawing/2014/main" id="{AE0B2138-5BE0-0D2E-7BC5-416F303F7EF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29</xdr:col>
      <xdr:colOff>784860</xdr:colOff>
      <xdr:row>69</xdr:row>
      <xdr:rowOff>0</xdr:rowOff>
    </xdr:to>
    <xdr:graphicFrame macro="">
      <xdr:nvGraphicFramePr>
        <xdr:cNvPr id="547202" name="Gráfico 2">
          <a:extLst>
            <a:ext uri="{FF2B5EF4-FFF2-40B4-BE49-F238E27FC236}">
              <a16:creationId xmlns:a16="http://schemas.microsoft.com/office/drawing/2014/main" id="{30D779D0-9180-1852-916E-073B026FB70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69</xdr:row>
      <xdr:rowOff>22860</xdr:rowOff>
    </xdr:from>
    <xdr:to>
      <xdr:col>6</xdr:col>
      <xdr:colOff>617220</xdr:colOff>
      <xdr:row>97</xdr:row>
      <xdr:rowOff>129540</xdr:rowOff>
    </xdr:to>
    <xdr:pic>
      <xdr:nvPicPr>
        <xdr:cNvPr id="547203" name="Imagen 1">
          <a:extLst>
            <a:ext uri="{FF2B5EF4-FFF2-40B4-BE49-F238E27FC236}">
              <a16:creationId xmlns:a16="http://schemas.microsoft.com/office/drawing/2014/main" id="{4739760F-9E83-7650-0B41-34AF377D8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788" t="10178" r="6351" b="13298"/>
        <a:stretch>
          <a:fillRect/>
        </a:stretch>
      </xdr:blipFill>
      <xdr:spPr bwMode="auto">
        <a:xfrm>
          <a:off x="0" y="11620500"/>
          <a:ext cx="7147560" cy="480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100</xdr:row>
      <xdr:rowOff>7620</xdr:rowOff>
    </xdr:from>
    <xdr:to>
      <xdr:col>6</xdr:col>
      <xdr:colOff>800100</xdr:colOff>
      <xdr:row>128</xdr:row>
      <xdr:rowOff>144780</xdr:rowOff>
    </xdr:to>
    <xdr:pic>
      <xdr:nvPicPr>
        <xdr:cNvPr id="547204" name="Imagen 2">
          <a:extLst>
            <a:ext uri="{FF2B5EF4-FFF2-40B4-BE49-F238E27FC236}">
              <a16:creationId xmlns:a16="http://schemas.microsoft.com/office/drawing/2014/main" id="{C0F93CBC-DD06-4722-DD08-3FD400FB49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521" t="10583" r="6352" b="13298"/>
        <a:stretch>
          <a:fillRect/>
        </a:stretch>
      </xdr:blipFill>
      <xdr:spPr bwMode="auto">
        <a:xfrm>
          <a:off x="0" y="16802100"/>
          <a:ext cx="7330440" cy="48310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131</xdr:row>
      <xdr:rowOff>22860</xdr:rowOff>
    </xdr:from>
    <xdr:to>
      <xdr:col>6</xdr:col>
      <xdr:colOff>899160</xdr:colOff>
      <xdr:row>159</xdr:row>
      <xdr:rowOff>129540</xdr:rowOff>
    </xdr:to>
    <xdr:pic>
      <xdr:nvPicPr>
        <xdr:cNvPr id="547205" name="Imagen 3">
          <a:extLst>
            <a:ext uri="{FF2B5EF4-FFF2-40B4-BE49-F238E27FC236}">
              <a16:creationId xmlns:a16="http://schemas.microsoft.com/office/drawing/2014/main" id="{E43EC712-7D79-67FE-2FEF-BEC304D63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9" t="10989" r="6886" b="13300"/>
        <a:stretch>
          <a:fillRect/>
        </a:stretch>
      </xdr:blipFill>
      <xdr:spPr bwMode="auto">
        <a:xfrm>
          <a:off x="0" y="22014180"/>
          <a:ext cx="7429500" cy="480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162</xdr:row>
      <xdr:rowOff>22860</xdr:rowOff>
    </xdr:from>
    <xdr:to>
      <xdr:col>6</xdr:col>
      <xdr:colOff>929640</xdr:colOff>
      <xdr:row>190</xdr:row>
      <xdr:rowOff>160020</xdr:rowOff>
    </xdr:to>
    <xdr:pic>
      <xdr:nvPicPr>
        <xdr:cNvPr id="547206" name="Imagen 4">
          <a:extLst>
            <a:ext uri="{FF2B5EF4-FFF2-40B4-BE49-F238E27FC236}">
              <a16:creationId xmlns:a16="http://schemas.microsoft.com/office/drawing/2014/main" id="{C124D02B-343E-8086-7E6B-FB47BAA5E6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22" t="12212" r="6485" b="11263"/>
        <a:stretch>
          <a:fillRect/>
        </a:stretch>
      </xdr:blipFill>
      <xdr:spPr bwMode="auto">
        <a:xfrm>
          <a:off x="0" y="27211020"/>
          <a:ext cx="7459980" cy="48310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</xdr:colOff>
      <xdr:row>0</xdr:row>
      <xdr:rowOff>99060</xdr:rowOff>
    </xdr:from>
    <xdr:to>
      <xdr:col>4</xdr:col>
      <xdr:colOff>144780</xdr:colOff>
      <xdr:row>6</xdr:row>
      <xdr:rowOff>144780</xdr:rowOff>
    </xdr:to>
    <xdr:pic>
      <xdr:nvPicPr>
        <xdr:cNvPr id="373889" name="Picture 1" descr="cfe">
          <a:extLst>
            <a:ext uri="{FF2B5EF4-FFF2-40B4-BE49-F238E27FC236}">
              <a16:creationId xmlns:a16="http://schemas.microsoft.com/office/drawing/2014/main" id="{2C90AA96-54DC-6A04-FA01-C26F2E64DB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6940" y="99060"/>
          <a:ext cx="2270760" cy="1051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26</xdr:row>
      <xdr:rowOff>160020</xdr:rowOff>
    </xdr:from>
    <xdr:to>
      <xdr:col>12</xdr:col>
      <xdr:colOff>1066800</xdr:colOff>
      <xdr:row>61</xdr:row>
      <xdr:rowOff>160020</xdr:rowOff>
    </xdr:to>
    <xdr:graphicFrame macro="">
      <xdr:nvGraphicFramePr>
        <xdr:cNvPr id="373890" name="7 Gráfico">
          <a:extLst>
            <a:ext uri="{FF2B5EF4-FFF2-40B4-BE49-F238E27FC236}">
              <a16:creationId xmlns:a16="http://schemas.microsoft.com/office/drawing/2014/main" id="{2D1DD457-2506-BA17-3B11-B3CA801239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30480</xdr:colOff>
      <xdr:row>46</xdr:row>
      <xdr:rowOff>0</xdr:rowOff>
    </xdr:from>
    <xdr:to>
      <xdr:col>31</xdr:col>
      <xdr:colOff>22860</xdr:colOff>
      <xdr:row>72</xdr:row>
      <xdr:rowOff>0</xdr:rowOff>
    </xdr:to>
    <xdr:graphicFrame macro="">
      <xdr:nvGraphicFramePr>
        <xdr:cNvPr id="550401" name="Gráfico 7">
          <a:extLst>
            <a:ext uri="{FF2B5EF4-FFF2-40B4-BE49-F238E27FC236}">
              <a16:creationId xmlns:a16="http://schemas.microsoft.com/office/drawing/2014/main" id="{B535CE8D-4F21-E7B3-2378-97DF08F05C6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7620</xdr:colOff>
      <xdr:row>9</xdr:row>
      <xdr:rowOff>152400</xdr:rowOff>
    </xdr:from>
    <xdr:to>
      <xdr:col>30</xdr:col>
      <xdr:colOff>784860</xdr:colOff>
      <xdr:row>45</xdr:row>
      <xdr:rowOff>0</xdr:rowOff>
    </xdr:to>
    <xdr:graphicFrame macro="">
      <xdr:nvGraphicFramePr>
        <xdr:cNvPr id="550402" name="Gráfico 1">
          <a:extLst>
            <a:ext uri="{FF2B5EF4-FFF2-40B4-BE49-F238E27FC236}">
              <a16:creationId xmlns:a16="http://schemas.microsoft.com/office/drawing/2014/main" id="{077AB316-854E-79A5-5F28-2805657F5B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73</xdr:row>
      <xdr:rowOff>22860</xdr:rowOff>
    </xdr:from>
    <xdr:to>
      <xdr:col>7</xdr:col>
      <xdr:colOff>426720</xdr:colOff>
      <xdr:row>101</xdr:row>
      <xdr:rowOff>160020</xdr:rowOff>
    </xdr:to>
    <xdr:pic>
      <xdr:nvPicPr>
        <xdr:cNvPr id="550403" name="Imagen 4">
          <a:extLst>
            <a:ext uri="{FF2B5EF4-FFF2-40B4-BE49-F238E27FC236}">
              <a16:creationId xmlns:a16="http://schemas.microsoft.com/office/drawing/2014/main" id="{74DF5DC8-0110-623E-06EE-CBBE5D647E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92" t="27272" r="8357" b="9634"/>
        <a:stretch>
          <a:fillRect/>
        </a:stretch>
      </xdr:blipFill>
      <xdr:spPr bwMode="auto">
        <a:xfrm>
          <a:off x="0" y="12336780"/>
          <a:ext cx="7947660" cy="48310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104</xdr:row>
      <xdr:rowOff>22860</xdr:rowOff>
    </xdr:from>
    <xdr:to>
      <xdr:col>7</xdr:col>
      <xdr:colOff>472440</xdr:colOff>
      <xdr:row>132</xdr:row>
      <xdr:rowOff>76200</xdr:rowOff>
    </xdr:to>
    <xdr:pic>
      <xdr:nvPicPr>
        <xdr:cNvPr id="550404" name="Imagen 5">
          <a:extLst>
            <a:ext uri="{FF2B5EF4-FFF2-40B4-BE49-F238E27FC236}">
              <a16:creationId xmlns:a16="http://schemas.microsoft.com/office/drawing/2014/main" id="{919343A5-C819-E709-994B-D9494C6536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323" t="27679" r="7956" b="8684"/>
        <a:stretch>
          <a:fillRect/>
        </a:stretch>
      </xdr:blipFill>
      <xdr:spPr bwMode="auto">
        <a:xfrm>
          <a:off x="0" y="17533620"/>
          <a:ext cx="7993380" cy="474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135</xdr:row>
      <xdr:rowOff>45720</xdr:rowOff>
    </xdr:from>
    <xdr:to>
      <xdr:col>7</xdr:col>
      <xdr:colOff>495300</xdr:colOff>
      <xdr:row>163</xdr:row>
      <xdr:rowOff>144780</xdr:rowOff>
    </xdr:to>
    <xdr:pic>
      <xdr:nvPicPr>
        <xdr:cNvPr id="550405" name="Imagen 6">
          <a:extLst>
            <a:ext uri="{FF2B5EF4-FFF2-40B4-BE49-F238E27FC236}">
              <a16:creationId xmlns:a16="http://schemas.microsoft.com/office/drawing/2014/main" id="{76E85978-5F69-33CE-E175-6CF818AA2D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92" t="27679" r="9027" b="11424"/>
        <a:stretch>
          <a:fillRect/>
        </a:stretch>
      </xdr:blipFill>
      <xdr:spPr bwMode="auto">
        <a:xfrm>
          <a:off x="0" y="22753320"/>
          <a:ext cx="8016240" cy="4792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166</xdr:row>
      <xdr:rowOff>22860</xdr:rowOff>
    </xdr:from>
    <xdr:to>
      <xdr:col>7</xdr:col>
      <xdr:colOff>495300</xdr:colOff>
      <xdr:row>194</xdr:row>
      <xdr:rowOff>121920</xdr:rowOff>
    </xdr:to>
    <xdr:pic>
      <xdr:nvPicPr>
        <xdr:cNvPr id="550406" name="Imagen 7">
          <a:extLst>
            <a:ext uri="{FF2B5EF4-FFF2-40B4-BE49-F238E27FC236}">
              <a16:creationId xmlns:a16="http://schemas.microsoft.com/office/drawing/2014/main" id="{61908DD0-7796-966B-A516-6915657E0A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260" t="27679" r="8893" b="11514"/>
        <a:stretch>
          <a:fillRect/>
        </a:stretch>
      </xdr:blipFill>
      <xdr:spPr bwMode="auto">
        <a:xfrm>
          <a:off x="0" y="27927300"/>
          <a:ext cx="8016240" cy="4792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197</xdr:row>
      <xdr:rowOff>22860</xdr:rowOff>
    </xdr:from>
    <xdr:to>
      <xdr:col>3</xdr:col>
      <xdr:colOff>1066800</xdr:colOff>
      <xdr:row>211</xdr:row>
      <xdr:rowOff>99060</xdr:rowOff>
    </xdr:to>
    <xdr:pic>
      <xdr:nvPicPr>
        <xdr:cNvPr id="550407" name="Imagen 8">
          <a:extLst>
            <a:ext uri="{FF2B5EF4-FFF2-40B4-BE49-F238E27FC236}">
              <a16:creationId xmlns:a16="http://schemas.microsoft.com/office/drawing/2014/main" id="{25E5B3F5-3F23-0FBF-2ED1-E4DFDDD7F0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124140"/>
          <a:ext cx="4290060" cy="2423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198</xdr:row>
      <xdr:rowOff>110198</xdr:rowOff>
    </xdr:from>
    <xdr:to>
      <xdr:col>8</xdr:col>
      <xdr:colOff>0</xdr:colOff>
      <xdr:row>200</xdr:row>
      <xdr:rowOff>7300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0A45F521-82C2-4C98-6B33-F3C2A3733FB5}"/>
            </a:ext>
          </a:extLst>
        </xdr:cNvPr>
        <xdr:cNvSpPr/>
      </xdr:nvSpPr>
      <xdr:spPr>
        <a:xfrm>
          <a:off x="0" y="32106578"/>
          <a:ext cx="4191000" cy="227134"/>
        </a:xfrm>
        <a:prstGeom prst="rect">
          <a:avLst/>
        </a:prstGeom>
        <a:noFill/>
        <a:ln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MX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769620</xdr:colOff>
      <xdr:row>44</xdr:row>
      <xdr:rowOff>30480</xdr:rowOff>
    </xdr:to>
    <xdr:graphicFrame macro="">
      <xdr:nvGraphicFramePr>
        <xdr:cNvPr id="553089" name="Gráfico 1">
          <a:extLst>
            <a:ext uri="{FF2B5EF4-FFF2-40B4-BE49-F238E27FC236}">
              <a16:creationId xmlns:a16="http://schemas.microsoft.com/office/drawing/2014/main" id="{1E66BCE3-64C4-A841-CB5C-C4BEFEC4F9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45</xdr:row>
      <xdr:rowOff>38100</xdr:rowOff>
    </xdr:from>
    <xdr:to>
      <xdr:col>29</xdr:col>
      <xdr:colOff>784860</xdr:colOff>
      <xdr:row>62</xdr:row>
      <xdr:rowOff>0</xdr:rowOff>
    </xdr:to>
    <xdr:graphicFrame macro="">
      <xdr:nvGraphicFramePr>
        <xdr:cNvPr id="553090" name="Gráfico 2">
          <a:extLst>
            <a:ext uri="{FF2B5EF4-FFF2-40B4-BE49-F238E27FC236}">
              <a16:creationId xmlns:a16="http://schemas.microsoft.com/office/drawing/2014/main" id="{319A454F-B084-6EB7-E541-E70BEA04CA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769620</xdr:colOff>
      <xdr:row>44</xdr:row>
      <xdr:rowOff>30480</xdr:rowOff>
    </xdr:to>
    <xdr:graphicFrame macro="">
      <xdr:nvGraphicFramePr>
        <xdr:cNvPr id="557505" name="Gráfico 1">
          <a:extLst>
            <a:ext uri="{FF2B5EF4-FFF2-40B4-BE49-F238E27FC236}">
              <a16:creationId xmlns:a16="http://schemas.microsoft.com/office/drawing/2014/main" id="{26A5F5AF-DF56-32A4-D059-5D059BD761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45</xdr:row>
      <xdr:rowOff>38100</xdr:rowOff>
    </xdr:from>
    <xdr:to>
      <xdr:col>29</xdr:col>
      <xdr:colOff>784860</xdr:colOff>
      <xdr:row>62</xdr:row>
      <xdr:rowOff>0</xdr:rowOff>
    </xdr:to>
    <xdr:graphicFrame macro="">
      <xdr:nvGraphicFramePr>
        <xdr:cNvPr id="557506" name="Gráfico 2">
          <a:extLst>
            <a:ext uri="{FF2B5EF4-FFF2-40B4-BE49-F238E27FC236}">
              <a16:creationId xmlns:a16="http://schemas.microsoft.com/office/drawing/2014/main" id="{40D112D7-B509-4A8B-13DB-258F893F421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63</xdr:row>
      <xdr:rowOff>38100</xdr:rowOff>
    </xdr:from>
    <xdr:to>
      <xdr:col>6</xdr:col>
      <xdr:colOff>830580</xdr:colOff>
      <xdr:row>91</xdr:row>
      <xdr:rowOff>144780</xdr:rowOff>
    </xdr:to>
    <xdr:pic>
      <xdr:nvPicPr>
        <xdr:cNvPr id="557507" name="Imagen 1">
          <a:extLst>
            <a:ext uri="{FF2B5EF4-FFF2-40B4-BE49-F238E27FC236}">
              <a16:creationId xmlns:a16="http://schemas.microsoft.com/office/drawing/2014/main" id="{8766F44D-64E7-50AF-CDD3-DDE37202CB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521" t="12212" r="6487" b="12485"/>
        <a:stretch>
          <a:fillRect/>
        </a:stretch>
      </xdr:blipFill>
      <xdr:spPr bwMode="auto">
        <a:xfrm>
          <a:off x="0" y="10770577"/>
          <a:ext cx="7266549" cy="48662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94</xdr:row>
      <xdr:rowOff>22860</xdr:rowOff>
    </xdr:from>
    <xdr:to>
      <xdr:col>6</xdr:col>
      <xdr:colOff>792480</xdr:colOff>
      <xdr:row>122</xdr:row>
      <xdr:rowOff>144780</xdr:rowOff>
    </xdr:to>
    <xdr:pic>
      <xdr:nvPicPr>
        <xdr:cNvPr id="557508" name="Imagen 2">
          <a:extLst>
            <a:ext uri="{FF2B5EF4-FFF2-40B4-BE49-F238E27FC236}">
              <a16:creationId xmlns:a16="http://schemas.microsoft.com/office/drawing/2014/main" id="{F1C89F6B-9E0D-4989-12A3-BD1B490377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788" t="14247" r="6886" b="10042"/>
        <a:stretch>
          <a:fillRect/>
        </a:stretch>
      </xdr:blipFill>
      <xdr:spPr bwMode="auto">
        <a:xfrm>
          <a:off x="0" y="16024860"/>
          <a:ext cx="7228449" cy="48814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125</xdr:row>
      <xdr:rowOff>45720</xdr:rowOff>
    </xdr:from>
    <xdr:to>
      <xdr:col>6</xdr:col>
      <xdr:colOff>762000</xdr:colOff>
      <xdr:row>153</xdr:row>
      <xdr:rowOff>129541</xdr:rowOff>
    </xdr:to>
    <xdr:pic>
      <xdr:nvPicPr>
        <xdr:cNvPr id="557509" name="Imagen 3">
          <a:extLst>
            <a:ext uri="{FF2B5EF4-FFF2-40B4-BE49-F238E27FC236}">
              <a16:creationId xmlns:a16="http://schemas.microsoft.com/office/drawing/2014/main" id="{DB9D3298-F5D5-0F76-2927-0077B58477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86" t="12212" r="6752" b="13506"/>
        <a:stretch>
          <a:fillRect/>
        </a:stretch>
      </xdr:blipFill>
      <xdr:spPr bwMode="auto">
        <a:xfrm>
          <a:off x="0" y="21317243"/>
          <a:ext cx="7197969" cy="48433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155</xdr:row>
      <xdr:rowOff>167640</xdr:rowOff>
    </xdr:from>
    <xdr:to>
      <xdr:col>4</xdr:col>
      <xdr:colOff>22860</xdr:colOff>
      <xdr:row>170</xdr:row>
      <xdr:rowOff>137160</xdr:rowOff>
    </xdr:to>
    <xdr:pic>
      <xdr:nvPicPr>
        <xdr:cNvPr id="557510" name="Imagen 4">
          <a:extLst>
            <a:ext uri="{FF2B5EF4-FFF2-40B4-BE49-F238E27FC236}">
              <a16:creationId xmlns:a16="http://schemas.microsoft.com/office/drawing/2014/main" id="{399DC9A6-27B2-5AD4-2B6E-4299F7F961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538702"/>
          <a:ext cx="4313506" cy="25192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157</xdr:row>
      <xdr:rowOff>65942</xdr:rowOff>
    </xdr:from>
    <xdr:to>
      <xdr:col>8</xdr:col>
      <xdr:colOff>0</xdr:colOff>
      <xdr:row>158</xdr:row>
      <xdr:rowOff>131884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A477335E-747B-E2B8-7640-C282F2B3C966}"/>
            </a:ext>
          </a:extLst>
        </xdr:cNvPr>
        <xdr:cNvSpPr/>
      </xdr:nvSpPr>
      <xdr:spPr>
        <a:xfrm>
          <a:off x="0" y="26776973"/>
          <a:ext cx="8581292" cy="235926"/>
        </a:xfrm>
        <a:prstGeom prst="rect">
          <a:avLst/>
        </a:prstGeom>
        <a:noFill/>
        <a:ln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MX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769620</xdr:colOff>
      <xdr:row>45</xdr:row>
      <xdr:rowOff>30480</xdr:rowOff>
    </xdr:to>
    <xdr:graphicFrame macro="">
      <xdr:nvGraphicFramePr>
        <xdr:cNvPr id="560513" name="Gráfico 1">
          <a:extLst>
            <a:ext uri="{FF2B5EF4-FFF2-40B4-BE49-F238E27FC236}">
              <a16:creationId xmlns:a16="http://schemas.microsoft.com/office/drawing/2014/main" id="{2D257C70-F123-BEA7-5A69-DFDEB9D4D8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46</xdr:row>
      <xdr:rowOff>38100</xdr:rowOff>
    </xdr:from>
    <xdr:to>
      <xdr:col>29</xdr:col>
      <xdr:colOff>784860</xdr:colOff>
      <xdr:row>57</xdr:row>
      <xdr:rowOff>0</xdr:rowOff>
    </xdr:to>
    <xdr:graphicFrame macro="">
      <xdr:nvGraphicFramePr>
        <xdr:cNvPr id="560514" name="Gráfico 2">
          <a:extLst>
            <a:ext uri="{FF2B5EF4-FFF2-40B4-BE49-F238E27FC236}">
              <a16:creationId xmlns:a16="http://schemas.microsoft.com/office/drawing/2014/main" id="{C6AA11FB-CB0A-E90E-61C2-253350F147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57</xdr:row>
      <xdr:rowOff>38100</xdr:rowOff>
    </xdr:from>
    <xdr:to>
      <xdr:col>6</xdr:col>
      <xdr:colOff>1036320</xdr:colOff>
      <xdr:row>85</xdr:row>
      <xdr:rowOff>121920</xdr:rowOff>
    </xdr:to>
    <xdr:pic>
      <xdr:nvPicPr>
        <xdr:cNvPr id="560515" name="Imagen 1">
          <a:extLst>
            <a:ext uri="{FF2B5EF4-FFF2-40B4-BE49-F238E27FC236}">
              <a16:creationId xmlns:a16="http://schemas.microsoft.com/office/drawing/2014/main" id="{AF36B53C-D4FC-9AEE-DB40-D5C056F498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260" t="27679" r="9161" b="8058"/>
        <a:stretch>
          <a:fillRect/>
        </a:stretch>
      </xdr:blipFill>
      <xdr:spPr bwMode="auto">
        <a:xfrm>
          <a:off x="0" y="9750669"/>
          <a:ext cx="7472289" cy="48433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88</xdr:row>
      <xdr:rowOff>45720</xdr:rowOff>
    </xdr:from>
    <xdr:to>
      <xdr:col>6</xdr:col>
      <xdr:colOff>1013460</xdr:colOff>
      <xdr:row>116</xdr:row>
      <xdr:rowOff>137159</xdr:rowOff>
    </xdr:to>
    <xdr:pic>
      <xdr:nvPicPr>
        <xdr:cNvPr id="560516" name="Imagen 2">
          <a:extLst>
            <a:ext uri="{FF2B5EF4-FFF2-40B4-BE49-F238E27FC236}">
              <a16:creationId xmlns:a16="http://schemas.microsoft.com/office/drawing/2014/main" id="{BC8DB9CA-5F04-BCD4-3D8E-28E7B54502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20" t="10989" r="6218" b="14113"/>
        <a:stretch>
          <a:fillRect/>
        </a:stretch>
      </xdr:blipFill>
      <xdr:spPr bwMode="auto">
        <a:xfrm>
          <a:off x="0" y="15027812"/>
          <a:ext cx="7449429" cy="48510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119</xdr:row>
      <xdr:rowOff>0</xdr:rowOff>
    </xdr:from>
    <xdr:to>
      <xdr:col>3</xdr:col>
      <xdr:colOff>1051560</xdr:colOff>
      <xdr:row>133</xdr:row>
      <xdr:rowOff>144780</xdr:rowOff>
    </xdr:to>
    <xdr:pic>
      <xdr:nvPicPr>
        <xdr:cNvPr id="560517" name="Imagen 3">
          <a:extLst>
            <a:ext uri="{FF2B5EF4-FFF2-40B4-BE49-F238E27FC236}">
              <a16:creationId xmlns:a16="http://schemas.microsoft.com/office/drawing/2014/main" id="{4FABA62B-6A45-48DD-0DC7-8F234634F2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251615"/>
          <a:ext cx="4269545" cy="25245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120</xdr:row>
      <xdr:rowOff>124557</xdr:rowOff>
    </xdr:from>
    <xdr:to>
      <xdr:col>8</xdr:col>
      <xdr:colOff>0</xdr:colOff>
      <xdr:row>122</xdr:row>
      <xdr:rowOff>29306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47F539F-2225-D8F0-E0CF-F81FDE796046}"/>
            </a:ext>
          </a:extLst>
        </xdr:cNvPr>
        <xdr:cNvSpPr/>
      </xdr:nvSpPr>
      <xdr:spPr>
        <a:xfrm>
          <a:off x="0" y="20546157"/>
          <a:ext cx="8581292" cy="244718"/>
        </a:xfrm>
        <a:prstGeom prst="rect">
          <a:avLst/>
        </a:prstGeom>
        <a:noFill/>
        <a:ln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s-MX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22860</xdr:colOff>
      <xdr:row>63</xdr:row>
      <xdr:rowOff>22860</xdr:rowOff>
    </xdr:from>
    <xdr:to>
      <xdr:col>19</xdr:col>
      <xdr:colOff>7620</xdr:colOff>
      <xdr:row>83</xdr:row>
      <xdr:rowOff>0</xdr:rowOff>
    </xdr:to>
    <xdr:graphicFrame macro="">
      <xdr:nvGraphicFramePr>
        <xdr:cNvPr id="564417" name="3 Gráfico">
          <a:extLst>
            <a:ext uri="{FF2B5EF4-FFF2-40B4-BE49-F238E27FC236}">
              <a16:creationId xmlns:a16="http://schemas.microsoft.com/office/drawing/2014/main" id="{5F08A388-372F-0939-E81F-927E40E1DA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19</xdr:col>
      <xdr:colOff>861060</xdr:colOff>
      <xdr:row>71</xdr:row>
      <xdr:rowOff>22860</xdr:rowOff>
    </xdr:from>
    <xdr:to>
      <xdr:col>23</xdr:col>
      <xdr:colOff>1417320</xdr:colOff>
      <xdr:row>103</xdr:row>
      <xdr:rowOff>129540</xdr:rowOff>
    </xdr:to>
    <xdr:graphicFrame macro="">
      <xdr:nvGraphicFramePr>
        <xdr:cNvPr id="564418" name="5 Gráfico">
          <a:extLst>
            <a:ext uri="{FF2B5EF4-FFF2-40B4-BE49-F238E27FC236}">
              <a16:creationId xmlns:a16="http://schemas.microsoft.com/office/drawing/2014/main" id="{8C4428E1-D176-BA8E-A5C8-C4D061D301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944880</xdr:colOff>
      <xdr:row>118</xdr:row>
      <xdr:rowOff>22860</xdr:rowOff>
    </xdr:from>
    <xdr:to>
      <xdr:col>21</xdr:col>
      <xdr:colOff>1196340</xdr:colOff>
      <xdr:row>135</xdr:row>
      <xdr:rowOff>121920</xdr:rowOff>
    </xdr:to>
    <xdr:graphicFrame macro="">
      <xdr:nvGraphicFramePr>
        <xdr:cNvPr id="564419" name="3 Gráfico">
          <a:extLst>
            <a:ext uri="{FF2B5EF4-FFF2-40B4-BE49-F238E27FC236}">
              <a16:creationId xmlns:a16="http://schemas.microsoft.com/office/drawing/2014/main" id="{F44B600F-FB9B-8DF1-45F4-6597CEA419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7620</xdr:colOff>
      <xdr:row>14</xdr:row>
      <xdr:rowOff>167640</xdr:rowOff>
    </xdr:from>
    <xdr:to>
      <xdr:col>20</xdr:col>
      <xdr:colOff>289560</xdr:colOff>
      <xdr:row>43</xdr:row>
      <xdr:rowOff>99060</xdr:rowOff>
    </xdr:to>
    <xdr:graphicFrame macro="">
      <xdr:nvGraphicFramePr>
        <xdr:cNvPr id="63842636" name="Gráfico 1">
          <a:extLst>
            <a:ext uri="{FF2B5EF4-FFF2-40B4-BE49-F238E27FC236}">
              <a16:creationId xmlns:a16="http://schemas.microsoft.com/office/drawing/2014/main" id="{684D5D9B-50B8-156D-0F0D-9F6DB67C86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0</xdr:row>
      <xdr:rowOff>99060</xdr:rowOff>
    </xdr:from>
    <xdr:to>
      <xdr:col>2</xdr:col>
      <xdr:colOff>632460</xdr:colOff>
      <xdr:row>6</xdr:row>
      <xdr:rowOff>144780</xdr:rowOff>
    </xdr:to>
    <xdr:pic>
      <xdr:nvPicPr>
        <xdr:cNvPr id="400577" name="Picture 1" descr="cfe">
          <a:extLst>
            <a:ext uri="{FF2B5EF4-FFF2-40B4-BE49-F238E27FC236}">
              <a16:creationId xmlns:a16="http://schemas.microsoft.com/office/drawing/2014/main" id="{C827D1D9-FF04-822A-F314-D98AB2BD3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460" y="99060"/>
          <a:ext cx="1684020" cy="1051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22860</xdr:colOff>
      <xdr:row>37</xdr:row>
      <xdr:rowOff>7620</xdr:rowOff>
    </xdr:from>
    <xdr:to>
      <xdr:col>10</xdr:col>
      <xdr:colOff>1051560</xdr:colOff>
      <xdr:row>74</xdr:row>
      <xdr:rowOff>68580</xdr:rowOff>
    </xdr:to>
    <xdr:graphicFrame macro="">
      <xdr:nvGraphicFramePr>
        <xdr:cNvPr id="400578" name="3 Gráfico">
          <a:extLst>
            <a:ext uri="{FF2B5EF4-FFF2-40B4-BE49-F238E27FC236}">
              <a16:creationId xmlns:a16="http://schemas.microsoft.com/office/drawing/2014/main" id="{37265D5A-19AB-22DB-6959-64D8F8BD45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7620</xdr:colOff>
      <xdr:row>36</xdr:row>
      <xdr:rowOff>7620</xdr:rowOff>
    </xdr:from>
    <xdr:to>
      <xdr:col>27</xdr:col>
      <xdr:colOff>769620</xdr:colOff>
      <xdr:row>62</xdr:row>
      <xdr:rowOff>91440</xdr:rowOff>
    </xdr:to>
    <xdr:graphicFrame macro="">
      <xdr:nvGraphicFramePr>
        <xdr:cNvPr id="400579" name="6 Gráfico">
          <a:extLst>
            <a:ext uri="{FF2B5EF4-FFF2-40B4-BE49-F238E27FC236}">
              <a16:creationId xmlns:a16="http://schemas.microsoft.com/office/drawing/2014/main" id="{5E036B51-E141-9978-8D67-C4D3FD080B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22860</xdr:colOff>
      <xdr:row>6</xdr:row>
      <xdr:rowOff>7620</xdr:rowOff>
    </xdr:from>
    <xdr:to>
      <xdr:col>30</xdr:col>
      <xdr:colOff>0</xdr:colOff>
      <xdr:row>41</xdr:row>
      <xdr:rowOff>0</xdr:rowOff>
    </xdr:to>
    <xdr:graphicFrame macro="">
      <xdr:nvGraphicFramePr>
        <xdr:cNvPr id="424175" name="Gráfico 1">
          <a:extLst>
            <a:ext uri="{FF2B5EF4-FFF2-40B4-BE49-F238E27FC236}">
              <a16:creationId xmlns:a16="http://schemas.microsoft.com/office/drawing/2014/main" id="{63A6E534-5CF0-D600-34AB-59380B17C98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22860</xdr:colOff>
      <xdr:row>42</xdr:row>
      <xdr:rowOff>7620</xdr:rowOff>
    </xdr:from>
    <xdr:to>
      <xdr:col>30</xdr:col>
      <xdr:colOff>7620</xdr:colOff>
      <xdr:row>75</xdr:row>
      <xdr:rowOff>144780</xdr:rowOff>
    </xdr:to>
    <xdr:graphicFrame macro="">
      <xdr:nvGraphicFramePr>
        <xdr:cNvPr id="424176" name="Gráfico 2">
          <a:extLst>
            <a:ext uri="{FF2B5EF4-FFF2-40B4-BE49-F238E27FC236}">
              <a16:creationId xmlns:a16="http://schemas.microsoft.com/office/drawing/2014/main" id="{CF03B6AF-0A02-4638-D976-6590367AD5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29845</xdr:colOff>
      <xdr:row>8</xdr:row>
      <xdr:rowOff>139700</xdr:rowOff>
    </xdr:from>
    <xdr:to>
      <xdr:col>29</xdr:col>
      <xdr:colOff>594354</xdr:colOff>
      <xdr:row>8</xdr:row>
      <xdr:rowOff>139700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50C46F4F-27E1-8637-E1C4-31F2DB3D34F4}"/>
            </a:ext>
          </a:extLst>
        </xdr:cNvPr>
        <xdr:cNvCxnSpPr/>
      </xdr:nvCxnSpPr>
      <xdr:spPr>
        <a:xfrm>
          <a:off x="17478375" y="1447800"/>
          <a:ext cx="89249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75</xdr:row>
      <xdr:rowOff>0</xdr:rowOff>
    </xdr:from>
    <xdr:to>
      <xdr:col>11</xdr:col>
      <xdr:colOff>114300</xdr:colOff>
      <xdr:row>79</xdr:row>
      <xdr:rowOff>60960</xdr:rowOff>
    </xdr:to>
    <xdr:pic>
      <xdr:nvPicPr>
        <xdr:cNvPr id="424178" name="Imagen 2">
          <a:extLst>
            <a:ext uri="{FF2B5EF4-FFF2-40B4-BE49-F238E27FC236}">
              <a16:creationId xmlns:a16="http://schemas.microsoft.com/office/drawing/2014/main" id="{D3364719-6A68-6483-5DAC-BE19E78CFD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603480"/>
          <a:ext cx="12237720" cy="7315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769620</xdr:colOff>
      <xdr:row>46</xdr:row>
      <xdr:rowOff>30480</xdr:rowOff>
    </xdr:to>
    <xdr:graphicFrame macro="">
      <xdr:nvGraphicFramePr>
        <xdr:cNvPr id="440641" name="Gráfico 1">
          <a:extLst>
            <a:ext uri="{FF2B5EF4-FFF2-40B4-BE49-F238E27FC236}">
              <a16:creationId xmlns:a16="http://schemas.microsoft.com/office/drawing/2014/main" id="{53B54F63-5872-6BC0-8FE2-DBF7091C873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29</xdr:col>
      <xdr:colOff>784860</xdr:colOff>
      <xdr:row>54</xdr:row>
      <xdr:rowOff>0</xdr:rowOff>
    </xdr:to>
    <xdr:graphicFrame macro="">
      <xdr:nvGraphicFramePr>
        <xdr:cNvPr id="440642" name="Gráfico 2">
          <a:extLst>
            <a:ext uri="{FF2B5EF4-FFF2-40B4-BE49-F238E27FC236}">
              <a16:creationId xmlns:a16="http://schemas.microsoft.com/office/drawing/2014/main" id="{78D3206A-F4D8-1C65-6111-ACB9681A9F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19050</xdr:colOff>
      <xdr:row>14</xdr:row>
      <xdr:rowOff>133350</xdr:rowOff>
    </xdr:from>
    <xdr:to>
      <xdr:col>29</xdr:col>
      <xdr:colOff>570876</xdr:colOff>
      <xdr:row>14</xdr:row>
      <xdr:rowOff>133350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61B25FD5-5226-9533-1BE7-2DF3797E109A}"/>
            </a:ext>
          </a:extLst>
        </xdr:cNvPr>
        <xdr:cNvCxnSpPr/>
      </xdr:nvCxnSpPr>
      <xdr:spPr>
        <a:xfrm>
          <a:off x="17154525" y="2438400"/>
          <a:ext cx="89249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55</xdr:row>
      <xdr:rowOff>22860</xdr:rowOff>
    </xdr:from>
    <xdr:to>
      <xdr:col>6</xdr:col>
      <xdr:colOff>800100</xdr:colOff>
      <xdr:row>83</xdr:row>
      <xdr:rowOff>129540</xdr:rowOff>
    </xdr:to>
    <xdr:pic>
      <xdr:nvPicPr>
        <xdr:cNvPr id="440644" name="Imagen 1">
          <a:extLst>
            <a:ext uri="{FF2B5EF4-FFF2-40B4-BE49-F238E27FC236}">
              <a16:creationId xmlns:a16="http://schemas.microsoft.com/office/drawing/2014/main" id="{CCFFB004-104A-0F5F-F0A6-D47FE131E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655" t="11398" r="6886" b="12891"/>
        <a:stretch>
          <a:fillRect/>
        </a:stretch>
      </xdr:blipFill>
      <xdr:spPr bwMode="auto">
        <a:xfrm>
          <a:off x="0" y="9273540"/>
          <a:ext cx="7139940" cy="480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86</xdr:row>
      <xdr:rowOff>22860</xdr:rowOff>
    </xdr:from>
    <xdr:to>
      <xdr:col>6</xdr:col>
      <xdr:colOff>838200</xdr:colOff>
      <xdr:row>114</xdr:row>
      <xdr:rowOff>129540</xdr:rowOff>
    </xdr:to>
    <xdr:pic>
      <xdr:nvPicPr>
        <xdr:cNvPr id="440645" name="Imagen 2">
          <a:extLst>
            <a:ext uri="{FF2B5EF4-FFF2-40B4-BE49-F238E27FC236}">
              <a16:creationId xmlns:a16="http://schemas.microsoft.com/office/drawing/2014/main" id="{C6AF2889-DEAD-D494-A8EA-16286E296C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788" t="13025" r="6619" b="10857"/>
        <a:stretch>
          <a:fillRect/>
        </a:stretch>
      </xdr:blipFill>
      <xdr:spPr bwMode="auto">
        <a:xfrm>
          <a:off x="0" y="14470380"/>
          <a:ext cx="7178040" cy="480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9</xdr:row>
      <xdr:rowOff>0</xdr:rowOff>
    </xdr:from>
    <xdr:to>
      <xdr:col>29</xdr:col>
      <xdr:colOff>716280</xdr:colOff>
      <xdr:row>44</xdr:row>
      <xdr:rowOff>7620</xdr:rowOff>
    </xdr:to>
    <xdr:graphicFrame macro="">
      <xdr:nvGraphicFramePr>
        <xdr:cNvPr id="455809" name="Gráfico 1">
          <a:extLst>
            <a:ext uri="{FF2B5EF4-FFF2-40B4-BE49-F238E27FC236}">
              <a16:creationId xmlns:a16="http://schemas.microsoft.com/office/drawing/2014/main" id="{41FCA00D-772F-2B56-0A73-3530896CB3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45</xdr:row>
      <xdr:rowOff>22860</xdr:rowOff>
    </xdr:from>
    <xdr:to>
      <xdr:col>29</xdr:col>
      <xdr:colOff>723900</xdr:colOff>
      <xdr:row>68</xdr:row>
      <xdr:rowOff>0</xdr:rowOff>
    </xdr:to>
    <xdr:graphicFrame macro="">
      <xdr:nvGraphicFramePr>
        <xdr:cNvPr id="455810" name="Gráfico 2">
          <a:extLst>
            <a:ext uri="{FF2B5EF4-FFF2-40B4-BE49-F238E27FC236}">
              <a16:creationId xmlns:a16="http://schemas.microsoft.com/office/drawing/2014/main" id="{5D755E9F-1C9D-805B-D60E-EF557E2C8D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754380</xdr:colOff>
      <xdr:row>46</xdr:row>
      <xdr:rowOff>30480</xdr:rowOff>
    </xdr:to>
    <xdr:graphicFrame macro="">
      <xdr:nvGraphicFramePr>
        <xdr:cNvPr id="466113" name="Gráfico 1">
          <a:extLst>
            <a:ext uri="{FF2B5EF4-FFF2-40B4-BE49-F238E27FC236}">
              <a16:creationId xmlns:a16="http://schemas.microsoft.com/office/drawing/2014/main" id="{8738EBDE-360D-4047-047C-58671FCB12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29</xdr:col>
      <xdr:colOff>762000</xdr:colOff>
      <xdr:row>81</xdr:row>
      <xdr:rowOff>7620</xdr:rowOff>
    </xdr:to>
    <xdr:graphicFrame macro="">
      <xdr:nvGraphicFramePr>
        <xdr:cNvPr id="466114" name="Gráfico 2">
          <a:extLst>
            <a:ext uri="{FF2B5EF4-FFF2-40B4-BE49-F238E27FC236}">
              <a16:creationId xmlns:a16="http://schemas.microsoft.com/office/drawing/2014/main" id="{00926E8B-5536-DB9A-361E-99770E298E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64770</xdr:colOff>
      <xdr:row>19</xdr:row>
      <xdr:rowOff>67945</xdr:rowOff>
    </xdr:from>
    <xdr:to>
      <xdr:col>29</xdr:col>
      <xdr:colOff>616584</xdr:colOff>
      <xdr:row>19</xdr:row>
      <xdr:rowOff>67945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A36F3EB1-66CC-C259-30A9-B92E619A2CD9}"/>
            </a:ext>
          </a:extLst>
        </xdr:cNvPr>
        <xdr:cNvCxnSpPr/>
      </xdr:nvCxnSpPr>
      <xdr:spPr>
        <a:xfrm>
          <a:off x="17392650" y="3181350"/>
          <a:ext cx="89249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769620</xdr:colOff>
      <xdr:row>46</xdr:row>
      <xdr:rowOff>30480</xdr:rowOff>
    </xdr:to>
    <xdr:graphicFrame macro="">
      <xdr:nvGraphicFramePr>
        <xdr:cNvPr id="477395" name="Gráfico 1">
          <a:extLst>
            <a:ext uri="{FF2B5EF4-FFF2-40B4-BE49-F238E27FC236}">
              <a16:creationId xmlns:a16="http://schemas.microsoft.com/office/drawing/2014/main" id="{F5AAF353-1111-7934-5C3D-B00D3DF0FF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29</xdr:col>
      <xdr:colOff>784860</xdr:colOff>
      <xdr:row>81</xdr:row>
      <xdr:rowOff>7620</xdr:rowOff>
    </xdr:to>
    <xdr:graphicFrame macro="">
      <xdr:nvGraphicFramePr>
        <xdr:cNvPr id="477396" name="Gráfico 2">
          <a:extLst>
            <a:ext uri="{FF2B5EF4-FFF2-40B4-BE49-F238E27FC236}">
              <a16:creationId xmlns:a16="http://schemas.microsoft.com/office/drawing/2014/main" id="{74D75255-8C7B-1B41-0FF1-8FA974D133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102</xdr:row>
      <xdr:rowOff>0</xdr:rowOff>
    </xdr:from>
    <xdr:to>
      <xdr:col>11</xdr:col>
      <xdr:colOff>30480</xdr:colOff>
      <xdr:row>104</xdr:row>
      <xdr:rowOff>160020</xdr:rowOff>
    </xdr:to>
    <xdr:pic>
      <xdr:nvPicPr>
        <xdr:cNvPr id="477397" name="Imagen 1">
          <a:extLst>
            <a:ext uri="{FF2B5EF4-FFF2-40B4-BE49-F238E27FC236}">
              <a16:creationId xmlns:a16="http://schemas.microsoft.com/office/drawing/2014/main" id="{250ECEAA-BF5E-95C3-F307-BC199F7923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29760"/>
          <a:ext cx="1191006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11</xdr:col>
      <xdr:colOff>472440</xdr:colOff>
      <xdr:row>108</xdr:row>
      <xdr:rowOff>99060</xdr:rowOff>
    </xdr:to>
    <xdr:pic>
      <xdr:nvPicPr>
        <xdr:cNvPr id="477398" name="Imagen 2">
          <a:extLst>
            <a:ext uri="{FF2B5EF4-FFF2-40B4-BE49-F238E27FC236}">
              <a16:creationId xmlns:a16="http://schemas.microsoft.com/office/drawing/2014/main" id="{4D142164-39C3-7FB9-54B9-BB0DBC01BD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00320"/>
          <a:ext cx="12352020" cy="4343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11</xdr:row>
      <xdr:rowOff>0</xdr:rowOff>
    </xdr:from>
    <xdr:to>
      <xdr:col>29</xdr:col>
      <xdr:colOff>754380</xdr:colOff>
      <xdr:row>46</xdr:row>
      <xdr:rowOff>30480</xdr:rowOff>
    </xdr:to>
    <xdr:graphicFrame macro="">
      <xdr:nvGraphicFramePr>
        <xdr:cNvPr id="488745" name="Gráfico 1">
          <a:extLst>
            <a:ext uri="{FF2B5EF4-FFF2-40B4-BE49-F238E27FC236}">
              <a16:creationId xmlns:a16="http://schemas.microsoft.com/office/drawing/2014/main" id="{43E16A8E-8F8F-7324-5897-7116EBA418A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0</xdr:colOff>
      <xdr:row>47</xdr:row>
      <xdr:rowOff>38100</xdr:rowOff>
    </xdr:from>
    <xdr:to>
      <xdr:col>29</xdr:col>
      <xdr:colOff>762000</xdr:colOff>
      <xdr:row>81</xdr:row>
      <xdr:rowOff>7620</xdr:rowOff>
    </xdr:to>
    <xdr:graphicFrame macro="">
      <xdr:nvGraphicFramePr>
        <xdr:cNvPr id="488746" name="Gráfico 2">
          <a:extLst>
            <a:ext uri="{FF2B5EF4-FFF2-40B4-BE49-F238E27FC236}">
              <a16:creationId xmlns:a16="http://schemas.microsoft.com/office/drawing/2014/main" id="{04440719-041D-1911-D905-8EFE3B3D8B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47625</xdr:colOff>
      <xdr:row>13</xdr:row>
      <xdr:rowOff>136525</xdr:rowOff>
    </xdr:from>
    <xdr:to>
      <xdr:col>29</xdr:col>
      <xdr:colOff>621044</xdr:colOff>
      <xdr:row>13</xdr:row>
      <xdr:rowOff>136525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B4E25D63-BE05-90B4-2F83-F95343F6A845}"/>
            </a:ext>
          </a:extLst>
        </xdr:cNvPr>
        <xdr:cNvCxnSpPr/>
      </xdr:nvCxnSpPr>
      <xdr:spPr>
        <a:xfrm>
          <a:off x="17373600" y="2286000"/>
          <a:ext cx="89249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104</xdr:row>
      <xdr:rowOff>38100</xdr:rowOff>
    </xdr:from>
    <xdr:to>
      <xdr:col>6</xdr:col>
      <xdr:colOff>998220</xdr:colOff>
      <xdr:row>132</xdr:row>
      <xdr:rowOff>137160</xdr:rowOff>
    </xdr:to>
    <xdr:pic>
      <xdr:nvPicPr>
        <xdr:cNvPr id="488748" name="Imagen 1">
          <a:extLst>
            <a:ext uri="{FF2B5EF4-FFF2-40B4-BE49-F238E27FC236}">
              <a16:creationId xmlns:a16="http://schemas.microsoft.com/office/drawing/2014/main" id="{E8B353AF-EC7E-261E-9E8A-1457E2EFE1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9" t="15060" r="6752" b="9634"/>
        <a:stretch>
          <a:fillRect/>
        </a:stretch>
      </xdr:blipFill>
      <xdr:spPr bwMode="auto">
        <a:xfrm>
          <a:off x="0" y="17503140"/>
          <a:ext cx="7429500" cy="4792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11</xdr:col>
      <xdr:colOff>350520</xdr:colOff>
      <xdr:row>138</xdr:row>
      <xdr:rowOff>60960</xdr:rowOff>
    </xdr:to>
    <xdr:pic>
      <xdr:nvPicPr>
        <xdr:cNvPr id="488749" name="Imagen 1">
          <a:extLst>
            <a:ext uri="{FF2B5EF4-FFF2-40B4-BE49-F238E27FC236}">
              <a16:creationId xmlns:a16="http://schemas.microsoft.com/office/drawing/2014/main" id="{38327A93-D034-4946-716C-0129344ECF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494240"/>
          <a:ext cx="12245340" cy="7315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A_6" displayName="TABLA_6" ref="BD2:BM82" totalsRowShown="0" headerRowDxfId="97" dataDxfId="95" headerRowBorderDxfId="96" tableBorderDxfId="94">
  <autoFilter ref="BD2:BM82" xr:uid="{00000000-0009-0000-0100-000001000000}"/>
  <tableColumns count="10">
    <tableColumn id="1" xr3:uid="{00000000-0010-0000-0000-000001000000}" name="Equipo"/>
    <tableColumn id="2" xr3:uid="{00000000-0010-0000-0000-000002000000}" name="Validado" dataDxfId="93"/>
    <tableColumn id="3" xr3:uid="{00000000-0010-0000-0000-000003000000}" name="Año" dataDxfId="92"/>
    <tableColumn id="4" xr3:uid="{00000000-0010-0000-0000-000004000000}" name="Mes" dataDxfId="91"/>
    <tableColumn id="5" xr3:uid="{00000000-0010-0000-0000-000005000000}" name="Demanda Max (kW)" dataDxfId="90"/>
    <tableColumn id="6" xr3:uid="{00000000-0010-0000-0000-000006000000}" name="Demanda Min (kW)" dataDxfId="89"/>
    <tableColumn id="7" xr3:uid="{00000000-0010-0000-0000-000007000000}" name="Demanda Promedio (kW)" dataDxfId="88"/>
    <tableColumn id="8" xr3:uid="{00000000-0010-0000-0000-000008000000}" name="Energía (kWh)" dataDxfId="87"/>
    <tableColumn id="9" xr3:uid="{00000000-0010-0000-0000-000009000000}" name="Reactivos (kVARh)" dataDxfId="86"/>
    <tableColumn id="10" xr3:uid="{00000000-0010-0000-0000-00000A000000}" name="Factor de Potencia _x000a_Max" dataDxfId="85"/>
  </tableColumns>
  <tableStyleInfo name="TableStyleMedium9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830D8D62-0918-4AD2-9CC9-6C7D67B77940}" name="TABLA_10" displayName="TABLA_10" ref="CV2:DE82" totalsRowShown="0" headerRowDxfId="60" headerRowBorderDxfId="59" tableBorderDxfId="58">
  <autoFilter ref="CV2:DE82" xr:uid="{830D8D62-0918-4AD2-9CC9-6C7D67B77940}"/>
  <tableColumns count="10">
    <tableColumn id="1" xr3:uid="{FF849959-7F51-43A6-949E-C772AD797703}" name="Equipo"/>
    <tableColumn id="2" xr3:uid="{B2570BA3-4E24-41A6-A0D1-39BCEA69C818}" name="Validado"/>
    <tableColumn id="3" xr3:uid="{86142F79-DBFE-421E-9332-83351EE91DC0}" name="Año"/>
    <tableColumn id="4" xr3:uid="{659B46DD-F4EE-4E1E-82C3-81058C14F86A}" name="Mes"/>
    <tableColumn id="5" xr3:uid="{1C905CF6-3EC6-4589-8889-0F790E68EBB6}" name="Demanda Max (kW)"/>
    <tableColumn id="6" xr3:uid="{D5FE08EA-E942-4991-B068-7CD4924D0F43}" name="Demanda Min (kW)"/>
    <tableColumn id="7" xr3:uid="{391BC3D6-8099-4BED-A7D6-D67182F12667}" name="Demanda Promedio (kW)"/>
    <tableColumn id="8" xr3:uid="{6455E46C-A63D-4A2F-BB91-D7F34F368E92}" name="Energía (kWh)"/>
    <tableColumn id="9" xr3:uid="{421A5B21-F739-48A2-820D-C10534330003}" name="Reactivos (kVARh)"/>
    <tableColumn id="10" xr3:uid="{9633E0E1-AEE6-4ECF-8357-559D1D5522D5}" name="Factor de Potencia _x000a_Max"/>
  </tableColumns>
  <tableStyleInfo name="TableStyleMedium9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8EE22136-9FA3-4481-B593-31D3BF7CF0FA}" name="TABLA_11" displayName="TABLA_11" ref="DG2:DP82" totalsRowShown="0" headerRowDxfId="57" headerRowBorderDxfId="56" tableBorderDxfId="55">
  <autoFilter ref="DG2:DP82" xr:uid="{8EE22136-9FA3-4481-B593-31D3BF7CF0FA}"/>
  <tableColumns count="10">
    <tableColumn id="1" xr3:uid="{14CAA50A-7DEE-4A36-852B-50131F96CE04}" name="Equipo"/>
    <tableColumn id="2" xr3:uid="{DE002089-210B-4E5D-BE6D-E6378A09665D}" name="Validado"/>
    <tableColumn id="3" xr3:uid="{684ED629-4C5E-4FF5-A64B-533761E579ED}" name="Año"/>
    <tableColumn id="4" xr3:uid="{45E3EE8A-F5E3-4A7B-B67C-09051669D4AF}" name="Mes"/>
    <tableColumn id="5" xr3:uid="{BFAA79A2-F1F7-4FFF-BCAB-28C9F8E125D7}" name="Demanda Max (kW)"/>
    <tableColumn id="6" xr3:uid="{DCE56068-0B97-46D6-A727-F8BD31137D0E}" name="Demanda Min (kW)"/>
    <tableColumn id="7" xr3:uid="{C02BF236-534F-46EB-8EE1-F7243DA7691A}" name="Demanda Promedio (kW)"/>
    <tableColumn id="8" xr3:uid="{7C683786-5051-4DDE-B6F3-31C198A6C0F2}" name="Energía (kWh)"/>
    <tableColumn id="9" xr3:uid="{9F5C0594-D289-43EA-A96D-513E9EEDE264}" name="Reactivos (kVARh)"/>
    <tableColumn id="10" xr3:uid="{60EAD12A-C5AF-49C5-88C0-2ABD462A49E3}" name="Factor de Potencia _x000a_Max"/>
  </tableColumns>
  <tableStyleInfo name="TableStyleMedium9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33470E6E-9BCE-4417-9F60-86947CF56D7C}" name="TABLA_12" displayName="TABLA_12" ref="DR2:EA82" totalsRowShown="0" headerRowDxfId="54" headerRowBorderDxfId="53" tableBorderDxfId="52">
  <autoFilter ref="DR2:EA82" xr:uid="{33470E6E-9BCE-4417-9F60-86947CF56D7C}"/>
  <tableColumns count="10">
    <tableColumn id="1" xr3:uid="{7933F801-6E1A-49B0-858F-88F27C0F0775}" name="Equipo"/>
    <tableColumn id="2" xr3:uid="{470A586D-C7C7-4BD5-B647-184DB9892E4C}" name="Validado"/>
    <tableColumn id="3" xr3:uid="{EBD26DD5-CD8C-4304-A573-13F7C97E1102}" name="Año"/>
    <tableColumn id="4" xr3:uid="{48D24F1D-2C0F-41D0-A76D-B90AC7D63117}" name="Mes"/>
    <tableColumn id="5" xr3:uid="{BA21F8EB-E09C-426A-9658-997290D77886}" name="Demanda Max (kW)"/>
    <tableColumn id="6" xr3:uid="{ABDC2415-AF3D-4F64-B27D-A39D25257763}" name="Demanda Min (kW)"/>
    <tableColumn id="7" xr3:uid="{DF73CAB0-06CC-4B34-8686-015E1ACC5B69}" name="Demanda Promedio (kW)"/>
    <tableColumn id="8" xr3:uid="{5B5D72F6-DA71-48C2-95ED-A4840436A7F6}" name="Energía (kWh)"/>
    <tableColumn id="9" xr3:uid="{C2F3EA3E-C0D4-49F9-8465-6E8924A83166}" name="Reactivos (kVARh)"/>
    <tableColumn id="10" xr3:uid="{0F29DA84-D54C-432D-9E56-8E0279510EFD}" name="Factor de Potencia _x000a_Max"/>
  </tableColumns>
  <tableStyleInfo name="TableStyleMedium9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6714D47F-278D-4058-BF01-8AF05651167B}" name="TABLA_13" displayName="TABLA_13" ref="EC2:EL82" totalsRowShown="0" headerRowDxfId="51" headerRowBorderDxfId="50" tableBorderDxfId="49">
  <autoFilter ref="EC2:EL82" xr:uid="{6714D47F-278D-4058-BF01-8AF05651167B}"/>
  <tableColumns count="10">
    <tableColumn id="1" xr3:uid="{74C41647-E5F0-4227-87D8-8236A0F7DF20}" name="Equipo"/>
    <tableColumn id="2" xr3:uid="{CA7C3118-7D8F-4A3F-89AB-5DECCDF70469}" name="Validado"/>
    <tableColumn id="3" xr3:uid="{4CAFC5DD-B4FE-44D2-83A1-59B355037668}" name="Año"/>
    <tableColumn id="4" xr3:uid="{4FB32364-51BB-4749-BDD3-762F1BE1DF07}" name="Mes"/>
    <tableColumn id="5" xr3:uid="{D0BAA73D-CE35-49E0-B5C9-5A5D1182FC95}" name="Demanda Max (kW)"/>
    <tableColumn id="6" xr3:uid="{38C91B61-56BB-415D-89DA-E6812FAFD37C}" name="Demanda Min (kW)"/>
    <tableColumn id="7" xr3:uid="{05B222BC-5724-492D-A4FE-7D1924241CD1}" name="Demanda Promedio (kW)"/>
    <tableColumn id="8" xr3:uid="{3BC9FCE9-233A-4FD6-B317-8CBAB111CD59}" name="Energía (kWh)"/>
    <tableColumn id="9" xr3:uid="{19F33D4E-E4D6-4013-A240-BA9BF54E23D0}" name="Reactivos (kVARh)"/>
    <tableColumn id="10" xr3:uid="{EA2F4264-B5E6-4F67-A1A9-98B2CBB8FE39}" name="Factor de Potencia _x000a_Max"/>
  </tableColumns>
  <tableStyleInfo name="TableStyleMedium9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BancoTabla_6" displayName="BancoTabla_6" ref="BD2:BM32" totalsRowShown="0" headerRowDxfId="48" dataDxfId="46" headerRowBorderDxfId="47" tableBorderDxfId="45">
  <autoFilter ref="BD2:BM32" xr:uid="{00000000-0009-0000-0100-000002000000}"/>
  <tableColumns count="10">
    <tableColumn id="1" xr3:uid="{00000000-0010-0000-0100-000001000000}" name="Equipo"/>
    <tableColumn id="2" xr3:uid="{00000000-0010-0000-0100-000002000000}" name="Validado" dataDxfId="44"/>
    <tableColumn id="3" xr3:uid="{00000000-0010-0000-0100-000003000000}" name="Año" dataDxfId="43"/>
    <tableColumn id="4" xr3:uid="{00000000-0010-0000-0100-000004000000}" name="Mes" dataDxfId="42"/>
    <tableColumn id="5" xr3:uid="{00000000-0010-0000-0100-000005000000}" name="Demanda Max (kW)" dataDxfId="41"/>
    <tableColumn id="6" xr3:uid="{00000000-0010-0000-0100-000006000000}" name="Demanda Min (kW)" dataDxfId="40"/>
    <tableColumn id="7" xr3:uid="{00000000-0010-0000-0100-000007000000}" name="Demanda Promedio (kW)" dataDxfId="39"/>
    <tableColumn id="8" xr3:uid="{00000000-0010-0000-0100-000008000000}" name="Energía (kWh)" dataDxfId="38"/>
    <tableColumn id="9" xr3:uid="{00000000-0010-0000-0100-000009000000}" name="Reactivos (kVARh)" dataDxfId="37"/>
    <tableColumn id="10" xr3:uid="{00000000-0010-0000-0100-00000A000000}" name="Factor de Potencia _x000a_Max" dataDxfId="36"/>
  </tableColumns>
  <tableStyleInfo name="TableStyleMedium9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68FC7167-134E-4F4A-ADBD-14166C03D450}" name="BancoTabla_1" displayName="BancoTabla_1" ref="A2:J32" totalsRowShown="0" headerRowDxfId="35" headerRowBorderDxfId="34" tableBorderDxfId="33">
  <autoFilter ref="A2:J32" xr:uid="{68FC7167-134E-4F4A-ADBD-14166C03D450}"/>
  <tableColumns count="10">
    <tableColumn id="1" xr3:uid="{AE0C9205-7555-44E0-ACA2-70834E52463D}" name="Equipo"/>
    <tableColumn id="2" xr3:uid="{B81DA47F-3396-48F9-9ABC-84043669E658}" name="Validado"/>
    <tableColumn id="3" xr3:uid="{04F2144D-E6AE-4C44-BE14-5B3D3D0D5D3E}" name="Año"/>
    <tableColumn id="4" xr3:uid="{190B9C92-CC93-46D9-BFB5-21B79BDBAB76}" name="Mes"/>
    <tableColumn id="5" xr3:uid="{0CC6E431-F354-4478-AD81-3ABDF5F184F8}" name="Demanda Max (kW)"/>
    <tableColumn id="6" xr3:uid="{13243445-3D67-450A-96DE-9EF794FDEDF8}" name="Demanda Min (kW)"/>
    <tableColumn id="7" xr3:uid="{2E5D23B8-E46F-4DB6-AF5A-7A0FBC35916D}" name="Demanda Promedio (kW)"/>
    <tableColumn id="8" xr3:uid="{7B194E54-0903-4704-8584-B64591A8517B}" name="Energía (kWh)"/>
    <tableColumn id="9" xr3:uid="{212BAE33-D98C-4B27-BA34-2A793ACAF437}" name="Reactivos (kVARh)"/>
    <tableColumn id="10" xr3:uid="{A3F3C6E7-FD67-4B51-8871-2F792957115E}" name="Factor de Potencia _x000a_Max"/>
  </tableColumns>
  <tableStyleInfo name="TableStyleMedium9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21B8AD80-0A6A-4604-8D4C-433BB6E8663C}" name="BancoTabla_2" displayName="BancoTabla_2" ref="L2:U32" totalsRowShown="0" headerRowDxfId="32" headerRowBorderDxfId="31" tableBorderDxfId="30">
  <autoFilter ref="L2:U32" xr:uid="{21B8AD80-0A6A-4604-8D4C-433BB6E8663C}"/>
  <tableColumns count="10">
    <tableColumn id="1" xr3:uid="{E1856495-17EA-48F9-A8EF-D50FDE15EBD3}" name="Equipo"/>
    <tableColumn id="2" xr3:uid="{FA04B54B-9493-4AA6-966B-9A47298B35B4}" name="Validado"/>
    <tableColumn id="3" xr3:uid="{6F1A9657-11D6-4CF8-AE1A-77C5E6C4252B}" name="Año"/>
    <tableColumn id="4" xr3:uid="{5C6FF185-2F0B-41E2-B4E5-A75780CA4FDA}" name="Mes"/>
    <tableColumn id="5" xr3:uid="{2F24DE50-B79F-4346-909E-B84EF234CFCD}" name="Demanda Max (kW)"/>
    <tableColumn id="6" xr3:uid="{95C6593B-2166-4877-96E5-2900E928D0E8}" name="Demanda Min (kW)"/>
    <tableColumn id="7" xr3:uid="{6D5060F2-7445-47F9-BE93-4080D1470857}" name="Demanda Promedio (kW)"/>
    <tableColumn id="8" xr3:uid="{1EF0E9F9-E0B7-4669-A94A-CF7B206E0C98}" name="Energía (kWh)"/>
    <tableColumn id="9" xr3:uid="{94E2E9A8-C35C-4103-ABB0-D4AC46C11927}" name="Reactivos (kVARh)"/>
    <tableColumn id="10" xr3:uid="{D593D8C4-BD6B-43E6-A7D1-62760DC6A1FF}" name="Factor de Potencia _x000a_Max"/>
  </tableColumns>
  <tableStyleInfo name="TableStyleMedium9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702D7C9F-A7F3-4ECA-AD71-CEF01AF94A37}" name="BancoTabla_3" displayName="BancoTabla_3" ref="W2:AF32" totalsRowShown="0" headerRowDxfId="29" headerRowBorderDxfId="28" tableBorderDxfId="27">
  <autoFilter ref="W2:AF32" xr:uid="{702D7C9F-A7F3-4ECA-AD71-CEF01AF94A37}"/>
  <tableColumns count="10">
    <tableColumn id="1" xr3:uid="{E3FAE5CF-2013-4A76-9C83-10C04A4D40F0}" name="Equipo"/>
    <tableColumn id="2" xr3:uid="{6AE9D562-34EA-4032-BFE9-950CED2B6098}" name="Validado"/>
    <tableColumn id="3" xr3:uid="{24CB978E-955A-420D-A24E-F90633EC616A}" name="Año"/>
    <tableColumn id="4" xr3:uid="{BCBA5108-D90A-4D16-A39B-0646114C94B1}" name="Mes"/>
    <tableColumn id="5" xr3:uid="{F0026C7B-B320-4F39-BB2D-A975CDE08724}" name="Demanda Max (kW)"/>
    <tableColumn id="6" xr3:uid="{729AE58B-B789-4BEC-BA58-6513312D2BB7}" name="Demanda Min (kW)"/>
    <tableColumn id="7" xr3:uid="{5FF2301E-096A-4C56-8F6D-47F1E99EB758}" name="Demanda Promedio (kW)"/>
    <tableColumn id="8" xr3:uid="{40BC82E3-F550-4008-B484-5F02BAF53E5A}" name="Energía (kWh)"/>
    <tableColumn id="9" xr3:uid="{93AD7966-2BD3-45AB-BDDC-62F39026C168}" name="Reactivos (kVARh)"/>
    <tableColumn id="10" xr3:uid="{5672F71F-5F50-460A-8281-5576BDA5C79F}" name="Factor de Potencia _x000a_Max"/>
  </tableColumns>
  <tableStyleInfo name="TableStyleMedium9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9429912F-13D1-4C38-B492-626D46309B9D}" name="BancoTabla_4" displayName="BancoTabla_4" ref="AH2:AQ32" totalsRowShown="0" headerRowDxfId="26" headerRowBorderDxfId="25" tableBorderDxfId="24">
  <autoFilter ref="AH2:AQ32" xr:uid="{9429912F-13D1-4C38-B492-626D46309B9D}"/>
  <tableColumns count="10">
    <tableColumn id="1" xr3:uid="{E0B74B99-FFCB-43EF-A592-321367ADA75E}" name="Equipo"/>
    <tableColumn id="2" xr3:uid="{EF31E3E9-00A7-445C-AA02-41DCD4204F20}" name="Validado"/>
    <tableColumn id="3" xr3:uid="{AD89631B-7F1D-4418-82AE-3BAE24AD594C}" name="Año"/>
    <tableColumn id="4" xr3:uid="{DF46982A-E34A-4B6B-985F-874E0CDDFDAE}" name="Mes"/>
    <tableColumn id="5" xr3:uid="{7E9CBD40-A419-48C2-A9CE-E5123109CBEE}" name="Demanda Max (kW)"/>
    <tableColumn id="6" xr3:uid="{17E0631C-834B-41F2-A643-67349AE90AB9}" name="Demanda Min (kW)"/>
    <tableColumn id="7" xr3:uid="{64BAF707-3C5F-4AA4-B21A-63DA51E04192}" name="Demanda Promedio (kW)"/>
    <tableColumn id="8" xr3:uid="{2C926EFB-4CD6-4814-859D-37FC9ED9FEA3}" name="Energía (kWh)"/>
    <tableColumn id="9" xr3:uid="{261CCA57-D891-4330-903C-8583C923F8AF}" name="Reactivos (kVARh)"/>
    <tableColumn id="10" xr3:uid="{3C0560E9-DD25-4AFC-8276-C80C17543A9A}" name="Factor de Potencia _x000a_Max"/>
  </tableColumns>
  <tableStyleInfo name="TableStyleMedium9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BA0CC89E-9D4C-466F-B983-F3F3DDF48EC0}" name="BancoTabla_5" displayName="BancoTabla_5" ref="AS2:BB32" totalsRowShown="0" headerRowDxfId="23" headerRowBorderDxfId="22" tableBorderDxfId="21">
  <autoFilter ref="AS2:BB32" xr:uid="{BA0CC89E-9D4C-466F-B983-F3F3DDF48EC0}"/>
  <tableColumns count="10">
    <tableColumn id="1" xr3:uid="{A90C65ED-D6E7-4F6A-8685-6C20FF306B5C}" name="Equipo"/>
    <tableColumn id="2" xr3:uid="{BFCD22B3-8B67-4085-A2DE-47A3E1C579F7}" name="Validado"/>
    <tableColumn id="3" xr3:uid="{BF6C1EA6-D125-46DF-97AF-04675F309062}" name="Año"/>
    <tableColumn id="4" xr3:uid="{1790F007-113B-44E4-9E1C-CB671FB8CCC1}" name="Mes"/>
    <tableColumn id="5" xr3:uid="{EF9AD0BD-05E7-4364-A947-A9BF044AD1D3}" name="Demanda Max (kW)"/>
    <tableColumn id="6" xr3:uid="{DB281D52-6939-46DE-8F18-061C242A50B4}" name="Demanda Min (kW)"/>
    <tableColumn id="7" xr3:uid="{DA350083-418A-453D-8F69-18086606A8B3}" name="Demanda Promedio (kW)"/>
    <tableColumn id="8" xr3:uid="{04BE6616-D2D5-44EB-92B7-D45C03BCA79C}" name="Energía (kWh)"/>
    <tableColumn id="9" xr3:uid="{E864CED3-B2C6-4B95-816C-FD277695E83B}" name="Reactivos (kVARh)"/>
    <tableColumn id="10" xr3:uid="{542A9267-D6BC-41E4-97AD-EBF01330D78D}" name="Factor de Potencia _x000a_Max"/>
  </tableColumns>
  <tableStyleInfo name="TableStyleMedium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AC36B67E-3914-430F-A62F-D06D503C16F1}" name="TABLA_1" displayName="TABLA_1" ref="A2:J82" totalsRowShown="0" headerRowDxfId="84" headerRowBorderDxfId="83" tableBorderDxfId="82">
  <autoFilter ref="A2:J82" xr:uid="{AC36B67E-3914-430F-A62F-D06D503C16F1}"/>
  <tableColumns count="10">
    <tableColumn id="1" xr3:uid="{5234DAE0-6D62-4C72-ABD9-44BF83EE9FD9}" name="Equipo"/>
    <tableColumn id="2" xr3:uid="{577D1103-21F4-455B-8C58-4BA3287114D5}" name="Validado"/>
    <tableColumn id="3" xr3:uid="{61C4B718-B6F9-4294-9EDD-AC08E56E8348}" name="Año"/>
    <tableColumn id="4" xr3:uid="{14FE8538-3369-4E7E-92AF-BFAD98ADC23F}" name="Mes"/>
    <tableColumn id="5" xr3:uid="{44B3D88E-F2C7-4BBE-8C70-ED68599BB992}" name="Demanda Max (kW)"/>
    <tableColumn id="6" xr3:uid="{5CE8D4CD-385C-4C32-9296-5B94E0A49E6A}" name="Demanda Min (kW)"/>
    <tableColumn id="7" xr3:uid="{D2F92665-1CBF-4766-9014-EF02742F2F52}" name="Demanda Promedio (kW)"/>
    <tableColumn id="8" xr3:uid="{CDFBD4F9-8230-4F1E-85A9-E37C7CDFA1BD}" name="Energía (kWh)"/>
    <tableColumn id="9" xr3:uid="{A94E4A91-96EA-4FE0-A5FA-8834A0C1C37F}" name="Reactivos (kVARh)"/>
    <tableColumn id="10" xr3:uid="{9170E7B3-7E8C-41CA-8A3F-30A33603FE69}" name="Factor de Potencia _x000a_Max"/>
  </tableColumns>
  <tableStyleInfo name="TableStyleMedium9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E95D56D8-B31A-4F11-B839-051F08241BC7}" name="BancoTabla_7" displayName="BancoTabla_7" ref="BO2:BX32" totalsRowShown="0" headerRowDxfId="20" headerRowBorderDxfId="19" tableBorderDxfId="18">
  <autoFilter ref="BO2:BX32" xr:uid="{E95D56D8-B31A-4F11-B839-051F08241BC7}"/>
  <tableColumns count="10">
    <tableColumn id="1" xr3:uid="{6CED9C6A-8C5F-4985-9CE4-4C0A94A590FF}" name="Equipo"/>
    <tableColumn id="2" xr3:uid="{28AEEE77-2903-42D6-896A-787FF36FB50D}" name="Validado"/>
    <tableColumn id="3" xr3:uid="{27BC2408-1D40-414B-AE24-F36B97F4CBC7}" name="Año"/>
    <tableColumn id="4" xr3:uid="{0A894B6C-E4A0-42B1-9D23-E1BB0E971906}" name="Mes"/>
    <tableColumn id="5" xr3:uid="{753C4C17-12FB-439E-B04E-ECA52198CB21}" name="Demanda Max (kW)"/>
    <tableColumn id="6" xr3:uid="{120163D6-1052-4D59-B586-8275CAF64F11}" name="Demanda Min (kW)"/>
    <tableColumn id="7" xr3:uid="{6FF58D3C-D900-4B60-903A-7A2D174A7B60}" name="Demanda Promedio (kW)"/>
    <tableColumn id="8" xr3:uid="{39C3F822-94BE-4FB2-958D-AECCB115E8E7}" name="Energía (kWh)"/>
    <tableColumn id="9" xr3:uid="{2E0CE832-E4EE-4EA0-A46B-02D2C66FBCE5}" name="Reactivos (kVARh)"/>
    <tableColumn id="10" xr3:uid="{1C33D686-F1EC-41CA-B60E-EE4FF6FE9101}" name="Factor de Potencia _x000a_Max"/>
  </tableColumns>
  <tableStyleInfo name="TableStyleMedium9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CF918838-0287-4C0B-B43B-4E0DD482FF5C}" name="BancoTabla_8" displayName="BancoTabla_8" ref="BZ2:CI32" totalsRowShown="0" headerRowDxfId="17" headerRowBorderDxfId="16" tableBorderDxfId="15">
  <autoFilter ref="BZ2:CI32" xr:uid="{CF918838-0287-4C0B-B43B-4E0DD482FF5C}"/>
  <tableColumns count="10">
    <tableColumn id="1" xr3:uid="{AD1BE358-14AC-4B9A-A994-2DB015BFF480}" name="Equipo"/>
    <tableColumn id="2" xr3:uid="{E72E0D2E-7A81-49CD-A494-0C787EBA3B9B}" name="Validado"/>
    <tableColumn id="3" xr3:uid="{E9CF4CC1-BE97-4354-82C7-CAD1610D5D42}" name="Año"/>
    <tableColumn id="4" xr3:uid="{3DCAE8AC-AB8E-426F-9A03-60DEC0E845B7}" name="Mes"/>
    <tableColumn id="5" xr3:uid="{4649BF18-D586-4EE7-BD3A-12FB6D4BF7EE}" name="Demanda Max (kW)"/>
    <tableColumn id="6" xr3:uid="{9895A019-E540-4353-AA31-175116203CD4}" name="Demanda Min (kW)"/>
    <tableColumn id="7" xr3:uid="{5118B077-B2D7-44F3-9AB2-B9589390F7D1}" name="Demanda Promedio (kW)"/>
    <tableColumn id="8" xr3:uid="{E9534F49-14B2-4965-A96E-63152C65A9D8}" name="Energía (kWh)"/>
    <tableColumn id="9" xr3:uid="{74C14C01-3C69-4DAA-8E9C-A001F1B2A3C6}" name="Reactivos (kVARh)"/>
    <tableColumn id="10" xr3:uid="{DDAF0C20-3ACA-435A-A656-A5D45250FEF5}" name="Factor de Potencia _x000a_Max"/>
  </tableColumns>
  <tableStyleInfo name="TableStyleMedium9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75229956-C3CA-4CDF-9705-D381F5095E44}" name="BancoTabla_9" displayName="BancoTabla_9" ref="CK2:CT32" totalsRowShown="0" headerRowDxfId="14" headerRowBorderDxfId="13" tableBorderDxfId="12">
  <autoFilter ref="CK2:CT32" xr:uid="{75229956-C3CA-4CDF-9705-D381F5095E44}"/>
  <tableColumns count="10">
    <tableColumn id="1" xr3:uid="{D7779092-D5AB-4F3B-8F48-0637F676DA05}" name="Equipo"/>
    <tableColumn id="2" xr3:uid="{6F8F6392-FBDA-466F-A243-63036076A89D}" name="Validado"/>
    <tableColumn id="3" xr3:uid="{E2D18860-5841-4DE8-915F-B3DD42B20765}" name="Año"/>
    <tableColumn id="4" xr3:uid="{9FC4B886-A9B0-4113-B527-C11E88A48B46}" name="Mes"/>
    <tableColumn id="5" xr3:uid="{10A4CD19-1993-4B44-9DCA-EE0AECCEFC4E}" name="Demanda Max (kW)"/>
    <tableColumn id="6" xr3:uid="{34EE31D5-D8E1-4AF4-8510-2A8FC347B649}" name="Demanda Min (kW)"/>
    <tableColumn id="7" xr3:uid="{985334BD-CEAE-4BB5-823F-C09615AB7ADB}" name="Demanda Promedio (kW)"/>
    <tableColumn id="8" xr3:uid="{7D20DAFF-54FD-4729-8716-F9D201FFE88B}" name="Energía (kWh)"/>
    <tableColumn id="9" xr3:uid="{4844BA36-451E-473B-BF73-EE818BA09C80}" name="Reactivos (kVARh)"/>
    <tableColumn id="10" xr3:uid="{BDE3649A-15C8-4956-8043-0873AB4C302B}" name="Factor de Potencia _x000a_Max"/>
  </tableColumns>
  <tableStyleInfo name="TableStyleMedium9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DB0A54F4-667A-4DDF-9A62-42F821077753}" name="BancoTabla_10" displayName="BancoTabla_10" ref="CV2:DE32" totalsRowShown="0" headerRowDxfId="11" headerRowBorderDxfId="10" tableBorderDxfId="9">
  <autoFilter ref="CV2:DE32" xr:uid="{DB0A54F4-667A-4DDF-9A62-42F821077753}"/>
  <tableColumns count="10">
    <tableColumn id="1" xr3:uid="{2B44EEE6-57EF-4D17-AA0B-8C70CE50C28C}" name="Equipo"/>
    <tableColumn id="2" xr3:uid="{E811E1FD-CE49-4794-B868-D2D3A80F4640}" name="Validado"/>
    <tableColumn id="3" xr3:uid="{8A9EC4DE-31CE-4A56-83AB-2545455F8C89}" name="Año"/>
    <tableColumn id="4" xr3:uid="{8B7A506C-AA8E-4A03-8DBA-3C4ABC2AB86E}" name="Mes"/>
    <tableColumn id="5" xr3:uid="{39FEF043-F3BF-4227-9252-61187D351F8A}" name="Demanda Max (kW)"/>
    <tableColumn id="6" xr3:uid="{DBDD7CF4-88CA-427B-B176-20AFFD5D649B}" name="Demanda Min (kW)"/>
    <tableColumn id="7" xr3:uid="{CD052C1D-142A-474A-9E7E-DF8D79C8184B}" name="Demanda Promedio (kW)"/>
    <tableColumn id="8" xr3:uid="{FBB7FD6B-0865-4F63-B281-8B6AC615D29E}" name="Energía (kWh)"/>
    <tableColumn id="9" xr3:uid="{A947D229-A6C1-4799-85F7-B4D9BADA8280}" name="Reactivos (kVARh)"/>
    <tableColumn id="10" xr3:uid="{DD6ADE61-086F-4F89-A812-2A79C6BADBE6}" name="Factor de Potencia _x000a_Max"/>
  </tableColumns>
  <tableStyleInfo name="TableStyleMedium9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7C13FDCA-1966-4BAE-AE8B-D51EC8BB8BFF}" name="BancoTabla_11" displayName="BancoTabla_11" ref="DG2:DP32" totalsRowShown="0" headerRowDxfId="8" headerRowBorderDxfId="7" tableBorderDxfId="6">
  <autoFilter ref="DG2:DP32" xr:uid="{7C13FDCA-1966-4BAE-AE8B-D51EC8BB8BFF}"/>
  <tableColumns count="10">
    <tableColumn id="1" xr3:uid="{E6ED0397-9CA2-49F6-A162-0248FD380432}" name="Equipo"/>
    <tableColumn id="2" xr3:uid="{CC365832-2B50-4AC7-9A62-8A940A0F85BF}" name="Validado"/>
    <tableColumn id="3" xr3:uid="{88F4AB75-C19D-41FD-A92E-89B45777E77E}" name="Año"/>
    <tableColumn id="4" xr3:uid="{B237E971-F230-4DCD-AA62-001A2BE25C38}" name="Mes"/>
    <tableColumn id="5" xr3:uid="{81153C03-A491-4467-BCD5-1DFD1C8C53E2}" name="Demanda Max (kW)"/>
    <tableColumn id="6" xr3:uid="{22A37FA6-5CE8-4CD9-BD2E-E8F70FCC7BD2}" name="Demanda Min (kW)"/>
    <tableColumn id="7" xr3:uid="{755A3A1A-A48C-4237-A849-B2FD84465F9D}" name="Demanda Promedio (kW)"/>
    <tableColumn id="8" xr3:uid="{BA551722-0095-49E7-B47C-11EA24487D24}" name="Energía (kWh)"/>
    <tableColumn id="9" xr3:uid="{BC88A8B3-4DF3-4D47-8DED-F0A927A3D2E4}" name="Reactivos (kVARh)"/>
    <tableColumn id="10" xr3:uid="{DB8B0547-2909-4269-8A1C-C50BF6034AFA}" name="Factor de Potencia _x000a_Max"/>
  </tableColumns>
  <tableStyleInfo name="TableStyleMedium9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6DE43636-1673-4595-B828-07C1FB63C04C}" name="BancoTabla_12" displayName="BancoTabla_12" ref="DR2:EA32" totalsRowShown="0" headerRowDxfId="5" headerRowBorderDxfId="4" tableBorderDxfId="3">
  <autoFilter ref="DR2:EA32" xr:uid="{6DE43636-1673-4595-B828-07C1FB63C04C}"/>
  <tableColumns count="10">
    <tableColumn id="1" xr3:uid="{9EA22123-8CFA-4612-A1A1-BB2DC986E9E3}" name="Equipo"/>
    <tableColumn id="2" xr3:uid="{E89416EB-7086-4B99-84B5-819CDFED27D5}" name="Validado"/>
    <tableColumn id="3" xr3:uid="{C30EA881-DCA7-45BF-9E8F-5BF9935FB610}" name="Año"/>
    <tableColumn id="4" xr3:uid="{5920CF9D-D53E-41EB-BAC2-80E1C2F971D6}" name="Mes"/>
    <tableColumn id="5" xr3:uid="{9A1F6521-5A05-49EF-9F7A-18ED0398EDB1}" name="Demanda Max (kW)"/>
    <tableColumn id="6" xr3:uid="{4B8D5C44-7FAC-488B-89F3-C5ED9D108B34}" name="Demanda Min (kW)"/>
    <tableColumn id="7" xr3:uid="{2F6A4D2A-A7E3-456B-90E0-1DF6072E66B2}" name="Demanda Promedio (kW)"/>
    <tableColumn id="8" xr3:uid="{61C29463-4DD6-45DA-AA92-6C03280635BA}" name="Energía (kWh)"/>
    <tableColumn id="9" xr3:uid="{0488D702-97A1-4668-A800-8356A5BE685E}" name="Reactivos (kVARh)"/>
    <tableColumn id="10" xr3:uid="{9D6E0CDF-1AE6-4FF3-9DCE-DFF11CB3AEC4}" name="Factor de Potencia _x000a_Max"/>
  </tableColumns>
  <tableStyleInfo name="TableStyleMedium9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C33AEAD5-F222-41A6-9527-0E39E2ADFA05}" name="BancoTabla_13" displayName="BancoTabla_13" ref="EC2:EL32" totalsRowShown="0" headerRowDxfId="2" headerRowBorderDxfId="1" tableBorderDxfId="0">
  <autoFilter ref="EC2:EL32" xr:uid="{C33AEAD5-F222-41A6-9527-0E39E2ADFA05}"/>
  <tableColumns count="10">
    <tableColumn id="1" xr3:uid="{EEE18D03-F05F-4301-8CB6-6161A78DB04C}" name="Equipo"/>
    <tableColumn id="2" xr3:uid="{42A2D761-2E2E-4CEF-A78C-4C3C626AB542}" name="Validado"/>
    <tableColumn id="3" xr3:uid="{DC40E44D-0AC1-43D1-89A9-54D1E4F3E1B2}" name="Año"/>
    <tableColumn id="4" xr3:uid="{0BBAC8A1-BBA6-48A5-BFF2-6A5C4ACE1FD5}" name="Mes"/>
    <tableColumn id="5" xr3:uid="{4807115C-F413-4962-A3C4-6EFBC53389F1}" name="Demanda Max (kW)"/>
    <tableColumn id="6" xr3:uid="{95B09458-8B98-49E3-8693-A573C1A25E76}" name="Demanda Min (kW)"/>
    <tableColumn id="7" xr3:uid="{99A69E1E-682F-44D0-9D47-62D6EB15D89D}" name="Demanda Promedio (kW)"/>
    <tableColumn id="8" xr3:uid="{6E1C77EE-3B08-4B41-A2F5-3208BBDC4369}" name="Energía (kWh)"/>
    <tableColumn id="9" xr3:uid="{F0E2D2EB-D555-4715-BA5F-DE67427E08EC}" name="Reactivos (kVARh)"/>
    <tableColumn id="10" xr3:uid="{4D7A989A-61C9-4547-B23B-9994A804CD55}" name="Factor de Potencia _x000a_Max"/>
  </tableColumns>
  <tableStyleInfo name="TableStyleMedium9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1C2A13FA-CDAA-4F25-A831-603898CD1872}" name="TABLA_2" displayName="TABLA_2" ref="L2:U82" totalsRowShown="0" headerRowDxfId="81" headerRowBorderDxfId="80" tableBorderDxfId="79">
  <autoFilter ref="L2:U82" xr:uid="{1C2A13FA-CDAA-4F25-A831-603898CD1872}"/>
  <tableColumns count="10">
    <tableColumn id="1" xr3:uid="{980B8A66-723F-4A66-904F-8D66379E649B}" name="Equipo"/>
    <tableColumn id="2" xr3:uid="{87D418BF-7271-46FB-811C-8624316328C7}" name="Validado"/>
    <tableColumn id="3" xr3:uid="{D957541A-1F2B-44BD-8528-694C2103A1B9}" name="Año"/>
    <tableColumn id="4" xr3:uid="{5299AE97-5594-47E3-94FE-3F88EC6B30A7}" name="Mes"/>
    <tableColumn id="5" xr3:uid="{93771CE3-0800-4BF3-BA05-680E0A679EB7}" name="Demanda Max (kW)"/>
    <tableColumn id="6" xr3:uid="{AD44A18B-4F5B-42C5-9170-3CB3A52C24B1}" name="Demanda Min (kW)"/>
    <tableColumn id="7" xr3:uid="{6523E296-5877-4291-B9FE-3DA55181B5A3}" name="Demanda Promedio (kW)"/>
    <tableColumn id="8" xr3:uid="{EA476DB0-EB53-475C-A72E-31ABF6C686CE}" name="Energía (kWh)"/>
    <tableColumn id="9" xr3:uid="{D7778E6E-3BB7-4EAD-8511-39C3C66E3CB3}" name="Reactivos (kVARh)"/>
    <tableColumn id="10" xr3:uid="{14A99221-B5C9-42AE-9A26-C75E698E6ADC}" name="Factor de Potencia _x000a_Max"/>
  </tableColumns>
  <tableStyleInfo name="TableStyleMedium9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49DB4D1-8CA0-4602-B4DA-0C17F904BFC0}" name="TABLA_3" displayName="TABLA_3" ref="W2:AF82" totalsRowShown="0" headerRowDxfId="78" headerRowBorderDxfId="77" tableBorderDxfId="76">
  <autoFilter ref="W2:AF82" xr:uid="{A49DB4D1-8CA0-4602-B4DA-0C17F904BFC0}"/>
  <tableColumns count="10">
    <tableColumn id="1" xr3:uid="{2E6FD031-C27B-4104-8DEA-B1AFD8E53A63}" name="Equipo"/>
    <tableColumn id="2" xr3:uid="{B6E44A44-1305-46B6-BCD0-19856ACE78F3}" name="Validado"/>
    <tableColumn id="3" xr3:uid="{8D11BFC6-59ED-486F-84D9-3CD822EAE22C}" name="Año"/>
    <tableColumn id="4" xr3:uid="{ECA31C06-4BF7-4D7D-AFB6-70C26DC54C82}" name="Mes"/>
    <tableColumn id="5" xr3:uid="{E20A187A-ABF7-4FCD-B8F0-AE04D2296833}" name="Demanda Max (kW)"/>
    <tableColumn id="6" xr3:uid="{2D5E7EBD-453B-45A8-AEAE-9F75E6C3A1F9}" name="Demanda Min (kW)"/>
    <tableColumn id="7" xr3:uid="{9F79D71D-B0BA-47FF-B7F5-2D1D4230C7E2}" name="Demanda Promedio (kW)"/>
    <tableColumn id="8" xr3:uid="{CB91D760-59DD-46E5-A245-DCB03BABEE99}" name="Energía (kWh)"/>
    <tableColumn id="9" xr3:uid="{5621D95D-5A81-4F3E-8ECF-66F672AAEB42}" name="Reactivos (kVARh)"/>
    <tableColumn id="10" xr3:uid="{FBE13CFC-3701-48A5-85D6-DB3DCAF1B110}" name="Factor de Potencia _x000a_Max"/>
  </tableColumns>
  <tableStyleInfo name="TableStyleMedium9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F048D5F-7A27-4F55-8495-08B7D571DA44}" name="TABLA_4" displayName="TABLA_4" ref="AH2:AQ82" totalsRowShown="0" headerRowDxfId="75" headerRowBorderDxfId="74" tableBorderDxfId="73">
  <autoFilter ref="AH2:AQ82" xr:uid="{0F048D5F-7A27-4F55-8495-08B7D571DA44}"/>
  <tableColumns count="10">
    <tableColumn id="1" xr3:uid="{EC00993F-DE15-4F50-A1E4-23F0CA7577A9}" name="Equipo"/>
    <tableColumn id="2" xr3:uid="{AC151F4C-5603-4845-9237-5432E5CB04E1}" name="Validado"/>
    <tableColumn id="3" xr3:uid="{3B8D417A-2532-4FCE-8226-ECB99806867D}" name="Año"/>
    <tableColumn id="4" xr3:uid="{67FC9DEF-04B5-4C20-A693-B81A6123A7C8}" name="Mes"/>
    <tableColumn id="5" xr3:uid="{B74E2F02-54DB-4E63-9D03-351AE3C98351}" name="Demanda Max (kW)"/>
    <tableColumn id="6" xr3:uid="{0D9B1381-DAC0-4E62-A527-B84641589F20}" name="Demanda Min (kW)"/>
    <tableColumn id="7" xr3:uid="{F76C5A7D-5633-45CB-B3F4-A4DC901AC248}" name="Demanda Promedio (kW)"/>
    <tableColumn id="8" xr3:uid="{264D9269-91B4-467B-A475-68CAF8D7CD50}" name="Energía (kWh)"/>
    <tableColumn id="9" xr3:uid="{D0605039-EBD6-454B-9173-ED312C190F45}" name="Reactivos (kVARh)"/>
    <tableColumn id="10" xr3:uid="{62746C19-EC90-414B-B530-D0961A4DF403}" name="Factor de Potencia _x000a_Max"/>
  </tableColumns>
  <tableStyleInfo name="TableStyleMedium9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3FC42283-6D4B-4F29-8A05-44B801879D8A}" name="TABLA_5" displayName="TABLA_5" ref="AS2:BB82" totalsRowShown="0" headerRowDxfId="72" headerRowBorderDxfId="71" tableBorderDxfId="70">
  <autoFilter ref="AS2:BB82" xr:uid="{3FC42283-6D4B-4F29-8A05-44B801879D8A}"/>
  <tableColumns count="10">
    <tableColumn id="1" xr3:uid="{5C953051-09CF-4470-9AD0-63E7296C05A1}" name="Equipo"/>
    <tableColumn id="2" xr3:uid="{DF3399AC-73CE-4E1E-A21F-097FC8051199}" name="Validado"/>
    <tableColumn id="3" xr3:uid="{4D552C97-4E68-44AA-A72D-16AB4D45A5A8}" name="Año"/>
    <tableColumn id="4" xr3:uid="{F292A211-D531-44FE-9454-D7B0FC5483C1}" name="Mes"/>
    <tableColumn id="5" xr3:uid="{507BDF18-5473-4E60-BFF2-7E44947EDAA8}" name="Demanda Max (kW)"/>
    <tableColumn id="6" xr3:uid="{26D8DB97-C50C-44DD-B9D6-3D6921B275A3}" name="Demanda Min (kW)"/>
    <tableColumn id="7" xr3:uid="{1E27E84E-4D87-462F-BBEC-45269FCB4548}" name="Demanda Promedio (kW)"/>
    <tableColumn id="8" xr3:uid="{4C4EB656-C46D-487F-8BA4-3243B690F26D}" name="Energía (kWh)"/>
    <tableColumn id="9" xr3:uid="{DE8D8583-C5A9-45DC-AFF0-CB18A8CC4CAC}" name="Reactivos (kVARh)"/>
    <tableColumn id="10" xr3:uid="{4D8706D4-E518-499C-9EA0-56991A56F623}" name="Factor de Potencia _x000a_Max"/>
  </tableColumns>
  <tableStyleInfo name="TableStyleMedium9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44B4E034-2119-4AE5-A12B-5701D358ABD4}" name="TABLA_7" displayName="TABLA_7" ref="BO2:BX82" totalsRowShown="0" headerRowDxfId="69" headerRowBorderDxfId="68" tableBorderDxfId="67">
  <autoFilter ref="BO2:BX82" xr:uid="{44B4E034-2119-4AE5-A12B-5701D358ABD4}"/>
  <tableColumns count="10">
    <tableColumn id="1" xr3:uid="{ED0F6817-C780-4FE3-89E9-CF713FE69B12}" name="Equipo"/>
    <tableColumn id="2" xr3:uid="{72272174-25F4-4FE0-9483-6A708700E7D5}" name="Validado"/>
    <tableColumn id="3" xr3:uid="{6C8ADE81-2396-4B51-A524-958646F40714}" name="Año"/>
    <tableColumn id="4" xr3:uid="{E3FB0A05-FE8F-4052-8936-ADD0C48B5E4F}" name="Mes"/>
    <tableColumn id="5" xr3:uid="{FF1A64A3-B0BA-4D6E-91C1-4CB396E0CF5F}" name="Demanda Max (kW)"/>
    <tableColumn id="6" xr3:uid="{F863D4A7-0C33-4371-9DAD-B7C2EBAC6B62}" name="Demanda Min (kW)"/>
    <tableColumn id="7" xr3:uid="{F9984B47-9DBC-4B56-B275-FC6E14AA4A38}" name="Demanda Promedio (kW)"/>
    <tableColumn id="8" xr3:uid="{48143684-D54B-435C-82AD-58405B774D35}" name="Energía (kWh)"/>
    <tableColumn id="9" xr3:uid="{B36996D3-861A-4966-8716-B13A2FFF0222}" name="Reactivos (kVARh)"/>
    <tableColumn id="10" xr3:uid="{066E2396-8E37-40AF-95DC-33CE4EDFC006}" name="Factor de Potencia _x000a_Max"/>
  </tableColumns>
  <tableStyleInfo name="TableStyleMedium9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22A844D5-48A3-47EF-9A0D-474DBFF51131}" name="TABLA_8" displayName="TABLA_8" ref="BZ2:CI82" totalsRowShown="0" headerRowDxfId="66" headerRowBorderDxfId="65" tableBorderDxfId="64">
  <autoFilter ref="BZ2:CI82" xr:uid="{22A844D5-48A3-47EF-9A0D-474DBFF51131}"/>
  <tableColumns count="10">
    <tableColumn id="1" xr3:uid="{C40DF591-163A-4775-B027-CBDBC49953F9}" name="Equipo"/>
    <tableColumn id="2" xr3:uid="{0C250BA5-0F9A-4150-8679-B051FBF7DAD8}" name="Validado"/>
    <tableColumn id="3" xr3:uid="{AD9F7031-4314-43AF-96B6-96E85C9AE429}" name="Año"/>
    <tableColumn id="4" xr3:uid="{E9B53FAC-E224-44C3-8ED0-368C38A1E0C3}" name="Mes"/>
    <tableColumn id="5" xr3:uid="{72638C35-BFE6-43ED-BD9A-2B95EA77D62D}" name="Demanda Max (kW)"/>
    <tableColumn id="6" xr3:uid="{8AC1380C-0A33-4726-92EE-50BDBA4FB4C2}" name="Demanda Min (kW)"/>
    <tableColumn id="7" xr3:uid="{9F49414E-CC1A-4AAF-A304-E1985D15BDF5}" name="Demanda Promedio (kW)"/>
    <tableColumn id="8" xr3:uid="{48227DAE-C8D9-4643-A10D-6848AE2A5A03}" name="Energía (kWh)"/>
    <tableColumn id="9" xr3:uid="{21B8737C-E95A-491C-A0EC-A17A12573057}" name="Reactivos (kVARh)"/>
    <tableColumn id="10" xr3:uid="{DD75FD72-6FC8-4FDE-A96C-302348BBFD25}" name="Factor de Potencia _x000a_Max"/>
  </tableColumns>
  <tableStyleInfo name="TableStyleMedium9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9EAFDE3C-D75D-4950-9B42-E32448DDB86F}" name="TABLA_9" displayName="TABLA_9" ref="CK2:CT82" totalsRowShown="0" headerRowDxfId="63" headerRowBorderDxfId="62" tableBorderDxfId="61">
  <autoFilter ref="CK2:CT82" xr:uid="{9EAFDE3C-D75D-4950-9B42-E32448DDB86F}"/>
  <tableColumns count="10">
    <tableColumn id="1" xr3:uid="{49C9CF37-25D2-47AA-87DF-3CA297257358}" name="Equipo"/>
    <tableColumn id="2" xr3:uid="{4CCF10AB-AC2A-42FD-B267-15A5324BA2B3}" name="Validado"/>
    <tableColumn id="3" xr3:uid="{B2C069E1-5FC9-4664-8625-D6195E54F840}" name="Año"/>
    <tableColumn id="4" xr3:uid="{C36376AA-BD93-4725-AB2A-EB383D2C1331}" name="Mes"/>
    <tableColumn id="5" xr3:uid="{69C46528-F6E1-403A-85AB-4FF7C65E8F69}" name="Demanda Max (kW)"/>
    <tableColumn id="6" xr3:uid="{7492953D-4872-4F83-A411-207DC86CF2A7}" name="Demanda Min (kW)"/>
    <tableColumn id="7" xr3:uid="{90662D3B-38C8-4397-AB41-E39D9785460D}" name="Demanda Promedio (kW)"/>
    <tableColumn id="8" xr3:uid="{7C4488F8-8269-43E9-825D-15EBE652CD4C}" name="Energía (kWh)"/>
    <tableColumn id="9" xr3:uid="{6245CF72-F2BA-4CCA-B0BA-7E8DDC4BE55D}" name="Reactivos (kVARh)"/>
    <tableColumn id="10" xr3:uid="{F4F133DF-A43C-47E2-9068-6D5ED4B7D733}" name="Factor de Potencia _x000a_Max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Relationship Id="rId4" Type="http://schemas.openxmlformats.org/officeDocument/2006/relationships/comments" Target="../comments5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Relationship Id="rId4" Type="http://schemas.openxmlformats.org/officeDocument/2006/relationships/comments" Target="../comments6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Relationship Id="rId4" Type="http://schemas.openxmlformats.org/officeDocument/2006/relationships/comments" Target="../comments7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Relationship Id="rId4" Type="http://schemas.openxmlformats.org/officeDocument/2006/relationships/comments" Target="../comments8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Relationship Id="rId4" Type="http://schemas.openxmlformats.org/officeDocument/2006/relationships/comments" Target="../comments9.xm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Relationship Id="rId4" Type="http://schemas.openxmlformats.org/officeDocument/2006/relationships/comments" Target="../comments10.xm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Relationship Id="rId4" Type="http://schemas.openxmlformats.org/officeDocument/2006/relationships/comments" Target="../comments11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Relationship Id="rId4" Type="http://schemas.openxmlformats.org/officeDocument/2006/relationships/comments" Target="../comments12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Relationship Id="rId4" Type="http://schemas.openxmlformats.org/officeDocument/2006/relationships/comments" Target="../comments13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4.vml"/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Relationship Id="rId4" Type="http://schemas.openxmlformats.org/officeDocument/2006/relationships/comments" Target="../comments1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5.vml"/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Relationship Id="rId4" Type="http://schemas.openxmlformats.org/officeDocument/2006/relationships/comments" Target="../comments15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Relationship Id="rId4" Type="http://schemas.openxmlformats.org/officeDocument/2006/relationships/comments" Target="../comments16.xm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7.vml"/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Relationship Id="rId4" Type="http://schemas.openxmlformats.org/officeDocument/2006/relationships/comments" Target="../comments17.xm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8.vml"/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Relationship Id="rId4" Type="http://schemas.openxmlformats.org/officeDocument/2006/relationships/comments" Target="../comments18.xm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9.vml"/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Relationship Id="rId4" Type="http://schemas.openxmlformats.org/officeDocument/2006/relationships/comments" Target="../comments19.xm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0.vml"/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Relationship Id="rId4" Type="http://schemas.openxmlformats.org/officeDocument/2006/relationships/comments" Target="../comments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table" Target="../tables/table7.xml"/><Relationship Id="rId13" Type="http://schemas.openxmlformats.org/officeDocument/2006/relationships/table" Target="../tables/table12.xml"/><Relationship Id="rId3" Type="http://schemas.openxmlformats.org/officeDocument/2006/relationships/table" Target="../tables/table2.xml"/><Relationship Id="rId7" Type="http://schemas.openxmlformats.org/officeDocument/2006/relationships/table" Target="../tables/table6.xml"/><Relationship Id="rId12" Type="http://schemas.openxmlformats.org/officeDocument/2006/relationships/table" Target="../tables/table11.xml"/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4.bin"/><Relationship Id="rId6" Type="http://schemas.openxmlformats.org/officeDocument/2006/relationships/table" Target="../tables/table5.xml"/><Relationship Id="rId11" Type="http://schemas.openxmlformats.org/officeDocument/2006/relationships/table" Target="../tables/table10.xml"/><Relationship Id="rId5" Type="http://schemas.openxmlformats.org/officeDocument/2006/relationships/table" Target="../tables/table4.xml"/><Relationship Id="rId10" Type="http://schemas.openxmlformats.org/officeDocument/2006/relationships/table" Target="../tables/table9.xml"/><Relationship Id="rId4" Type="http://schemas.openxmlformats.org/officeDocument/2006/relationships/table" Target="../tables/table3.xml"/><Relationship Id="rId9" Type="http://schemas.openxmlformats.org/officeDocument/2006/relationships/table" Target="../tables/table8.xml"/><Relationship Id="rId14" Type="http://schemas.openxmlformats.org/officeDocument/2006/relationships/table" Target="../tables/table13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table" Target="../tables/table21.xml"/><Relationship Id="rId13" Type="http://schemas.openxmlformats.org/officeDocument/2006/relationships/table" Target="../tables/table26.xml"/><Relationship Id="rId3" Type="http://schemas.openxmlformats.org/officeDocument/2006/relationships/table" Target="../tables/table16.xml"/><Relationship Id="rId7" Type="http://schemas.openxmlformats.org/officeDocument/2006/relationships/table" Target="../tables/table20.xml"/><Relationship Id="rId12" Type="http://schemas.openxmlformats.org/officeDocument/2006/relationships/table" Target="../tables/table25.xml"/><Relationship Id="rId2" Type="http://schemas.openxmlformats.org/officeDocument/2006/relationships/table" Target="../tables/table15.xml"/><Relationship Id="rId1" Type="http://schemas.openxmlformats.org/officeDocument/2006/relationships/table" Target="../tables/table14.xml"/><Relationship Id="rId6" Type="http://schemas.openxmlformats.org/officeDocument/2006/relationships/table" Target="../tables/table19.xml"/><Relationship Id="rId11" Type="http://schemas.openxmlformats.org/officeDocument/2006/relationships/table" Target="../tables/table24.xml"/><Relationship Id="rId5" Type="http://schemas.openxmlformats.org/officeDocument/2006/relationships/table" Target="../tables/table18.xml"/><Relationship Id="rId10" Type="http://schemas.openxmlformats.org/officeDocument/2006/relationships/table" Target="../tables/table23.xml"/><Relationship Id="rId4" Type="http://schemas.openxmlformats.org/officeDocument/2006/relationships/table" Target="../tables/table17.xml"/><Relationship Id="rId9" Type="http://schemas.openxmlformats.org/officeDocument/2006/relationships/table" Target="../tables/table22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1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2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3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92D050"/>
  </sheetPr>
  <dimension ref="C3:AD75"/>
  <sheetViews>
    <sheetView topLeftCell="U1" zoomScaleNormal="100" workbookViewId="0">
      <selection activeCell="Y23" sqref="Y23"/>
    </sheetView>
  </sheetViews>
  <sheetFormatPr baseColWidth="10" defaultRowHeight="13.2" x14ac:dyDescent="0.25"/>
  <cols>
    <col min="14" max="14" width="12.109375" customWidth="1"/>
  </cols>
  <sheetData>
    <row r="3" spans="3:30" x14ac:dyDescent="0.25">
      <c r="C3" s="64"/>
      <c r="D3" s="64"/>
      <c r="E3" s="64"/>
      <c r="F3" s="64"/>
      <c r="G3" s="64"/>
      <c r="H3" s="64"/>
      <c r="I3" s="64"/>
      <c r="J3" s="64"/>
      <c r="K3" s="64"/>
    </row>
    <row r="4" spans="3:30" ht="12.75" customHeight="1" x14ac:dyDescent="0.25">
      <c r="C4" s="135"/>
      <c r="D4" s="135"/>
      <c r="E4" s="135"/>
      <c r="F4" s="64"/>
      <c r="G4" s="135"/>
      <c r="H4" s="64"/>
      <c r="I4" s="300"/>
      <c r="J4" s="64"/>
      <c r="K4" s="64"/>
      <c r="N4" s="394" t="s">
        <v>21</v>
      </c>
      <c r="O4" s="394" t="s">
        <v>365</v>
      </c>
      <c r="P4" s="394" t="s">
        <v>370</v>
      </c>
      <c r="Q4" s="394" t="s">
        <v>375</v>
      </c>
      <c r="R4" s="395" t="s">
        <v>376</v>
      </c>
      <c r="S4" s="394" t="s">
        <v>377</v>
      </c>
      <c r="T4" s="394" t="s">
        <v>374</v>
      </c>
      <c r="V4" s="394" t="s">
        <v>21</v>
      </c>
      <c r="W4" s="394" t="s">
        <v>365</v>
      </c>
      <c r="X4" s="394" t="s">
        <v>370</v>
      </c>
      <c r="Y4" s="394" t="s">
        <v>421</v>
      </c>
      <c r="Z4" s="395" t="s">
        <v>422</v>
      </c>
      <c r="AA4" s="394" t="s">
        <v>374</v>
      </c>
      <c r="AB4" s="394" t="s">
        <v>423</v>
      </c>
    </row>
    <row r="5" spans="3:30" ht="12.75" customHeight="1" x14ac:dyDescent="0.25">
      <c r="C5" s="301"/>
      <c r="D5" s="64"/>
      <c r="E5" s="64"/>
      <c r="F5" s="64"/>
      <c r="G5" s="302"/>
      <c r="H5" s="64"/>
      <c r="I5" s="302"/>
      <c r="J5" s="64"/>
      <c r="K5" s="64"/>
      <c r="N5" s="394"/>
      <c r="O5" s="394"/>
      <c r="P5" s="394"/>
      <c r="Q5" s="394"/>
      <c r="R5" s="396"/>
      <c r="S5" s="394"/>
      <c r="T5" s="394"/>
      <c r="V5" s="394"/>
      <c r="W5" s="394"/>
      <c r="X5" s="394"/>
      <c r="Y5" s="394"/>
      <c r="Z5" s="396"/>
      <c r="AA5" s="394"/>
      <c r="AB5" s="394"/>
    </row>
    <row r="6" spans="3:30" ht="12.75" customHeight="1" x14ac:dyDescent="0.25">
      <c r="C6" s="301"/>
      <c r="D6" s="64"/>
      <c r="E6" s="64"/>
      <c r="F6" s="64"/>
      <c r="G6" s="302"/>
      <c r="H6" s="64"/>
      <c r="I6" s="302"/>
      <c r="J6" s="64"/>
      <c r="K6" s="64"/>
      <c r="N6" s="394"/>
      <c r="O6" s="394"/>
      <c r="P6" s="394"/>
      <c r="Q6" s="394"/>
      <c r="R6" s="397"/>
      <c r="S6" s="394"/>
      <c r="T6" s="394"/>
      <c r="V6" s="394"/>
      <c r="W6" s="394"/>
      <c r="X6" s="394"/>
      <c r="Y6" s="394"/>
      <c r="Z6" s="397"/>
      <c r="AA6" s="394"/>
      <c r="AB6" s="394"/>
    </row>
    <row r="7" spans="3:30" x14ac:dyDescent="0.25">
      <c r="C7" s="301"/>
      <c r="D7" s="64"/>
      <c r="E7" s="64"/>
      <c r="F7" s="64"/>
      <c r="G7" s="302"/>
      <c r="H7" s="64"/>
      <c r="I7" s="302"/>
      <c r="J7" s="64"/>
      <c r="K7" s="64"/>
      <c r="N7" s="293" t="s">
        <v>147</v>
      </c>
      <c r="O7" s="283" t="s">
        <v>366</v>
      </c>
      <c r="P7" s="288">
        <v>8.9</v>
      </c>
      <c r="Q7" s="288">
        <v>8.1</v>
      </c>
      <c r="R7" s="288">
        <v>8.36</v>
      </c>
      <c r="S7" s="290">
        <f t="shared" ref="S7:S32" si="0">Q7/P7</f>
        <v>0.91011235955056169</v>
      </c>
      <c r="T7" s="290">
        <f t="shared" ref="T7:T32" si="1">R7/P7</f>
        <v>0.93932584269662911</v>
      </c>
      <c r="V7" s="294" t="s">
        <v>147</v>
      </c>
      <c r="W7" s="281" t="s">
        <v>366</v>
      </c>
      <c r="X7" s="289">
        <v>8.9</v>
      </c>
      <c r="Y7" s="289">
        <v>6.665</v>
      </c>
      <c r="Z7" s="289">
        <v>6.9</v>
      </c>
      <c r="AA7" s="291">
        <f t="shared" ref="AA7:AA32" si="2">Y7/X7</f>
        <v>0.74887640449438198</v>
      </c>
      <c r="AB7" s="291">
        <f t="shared" ref="AB7:AB32" si="3">Z7/X7</f>
        <v>0.7752808988764045</v>
      </c>
      <c r="AC7" s="38" t="s">
        <v>126</v>
      </c>
      <c r="AD7" s="41"/>
    </row>
    <row r="8" spans="3:30" x14ac:dyDescent="0.25">
      <c r="C8" s="301"/>
      <c r="D8" s="64"/>
      <c r="E8" s="64"/>
      <c r="F8" s="64"/>
      <c r="G8" s="302"/>
      <c r="H8" s="64"/>
      <c r="I8" s="302"/>
      <c r="J8" s="64"/>
      <c r="K8" s="64"/>
      <c r="N8" s="294" t="s">
        <v>148</v>
      </c>
      <c r="O8" s="281" t="s">
        <v>366</v>
      </c>
      <c r="P8" s="289">
        <v>8.9</v>
      </c>
      <c r="Q8" s="289">
        <v>6.8</v>
      </c>
      <c r="R8" s="289">
        <v>7.86</v>
      </c>
      <c r="S8" s="291">
        <f t="shared" si="0"/>
        <v>0.7640449438202247</v>
      </c>
      <c r="T8" s="291">
        <f t="shared" si="1"/>
        <v>0.88314606741573032</v>
      </c>
      <c r="V8" s="294" t="s">
        <v>148</v>
      </c>
      <c r="W8" s="281" t="s">
        <v>366</v>
      </c>
      <c r="X8" s="289">
        <v>8.9</v>
      </c>
      <c r="Y8" s="289">
        <v>5.859</v>
      </c>
      <c r="Z8" s="289">
        <v>6.8369999999999997</v>
      </c>
      <c r="AA8" s="291">
        <f t="shared" si="2"/>
        <v>0.65831460674157305</v>
      </c>
      <c r="AB8" s="291">
        <f t="shared" si="3"/>
        <v>0.76820224719101116</v>
      </c>
      <c r="AC8" s="38" t="s">
        <v>127</v>
      </c>
      <c r="AD8" s="41"/>
    </row>
    <row r="9" spans="3:30" x14ac:dyDescent="0.25">
      <c r="C9" s="301"/>
      <c r="D9" s="64"/>
      <c r="E9" s="64"/>
      <c r="F9" s="64"/>
      <c r="G9" s="302"/>
      <c r="H9" s="64"/>
      <c r="I9" s="302"/>
      <c r="J9" s="64"/>
      <c r="K9" s="64"/>
      <c r="N9" s="294" t="s">
        <v>129</v>
      </c>
      <c r="O9" s="281" t="s">
        <v>367</v>
      </c>
      <c r="P9" s="282">
        <v>19</v>
      </c>
      <c r="Q9" s="282">
        <v>14.276</v>
      </c>
      <c r="R9" s="289">
        <v>16.588000000000001</v>
      </c>
      <c r="S9" s="291">
        <f t="shared" si="0"/>
        <v>0.75136842105263157</v>
      </c>
      <c r="T9" s="291">
        <f t="shared" si="1"/>
        <v>0.87305263157894741</v>
      </c>
      <c r="V9" s="294" t="s">
        <v>133</v>
      </c>
      <c r="W9" s="281" t="s">
        <v>367</v>
      </c>
      <c r="X9" s="282">
        <v>19</v>
      </c>
      <c r="Y9" s="282">
        <v>12.878</v>
      </c>
      <c r="Z9" s="289">
        <v>13.211</v>
      </c>
      <c r="AA9" s="291">
        <f t="shared" si="2"/>
        <v>0.6777894736842105</v>
      </c>
      <c r="AB9" s="291">
        <f t="shared" si="3"/>
        <v>0.69531578947368422</v>
      </c>
      <c r="AC9" s="38" t="s">
        <v>128</v>
      </c>
      <c r="AD9" s="41"/>
    </row>
    <row r="10" spans="3:30" x14ac:dyDescent="0.25">
      <c r="C10" s="301"/>
      <c r="D10" s="64"/>
      <c r="E10" s="64"/>
      <c r="F10" s="64"/>
      <c r="G10" s="302"/>
      <c r="H10" s="64"/>
      <c r="I10" s="302"/>
      <c r="J10" s="64"/>
      <c r="K10" s="64"/>
      <c r="N10" s="294" t="s">
        <v>132</v>
      </c>
      <c r="O10" s="281" t="s">
        <v>367</v>
      </c>
      <c r="P10" s="282">
        <v>28.5</v>
      </c>
      <c r="Q10" s="282">
        <v>20.969000000000001</v>
      </c>
      <c r="R10" s="289">
        <v>23.783999999999999</v>
      </c>
      <c r="S10" s="291">
        <f t="shared" si="0"/>
        <v>0.73575438596491227</v>
      </c>
      <c r="T10" s="291">
        <f t="shared" si="1"/>
        <v>0.83452631578947367</v>
      </c>
      <c r="V10" s="295" t="s">
        <v>294</v>
      </c>
      <c r="W10" s="278" t="s">
        <v>368</v>
      </c>
      <c r="X10" s="279">
        <v>4.8</v>
      </c>
      <c r="Y10" s="279">
        <v>3.0150000000000001</v>
      </c>
      <c r="Z10" s="280">
        <v>3.0590000000000002</v>
      </c>
      <c r="AA10" s="292">
        <f t="shared" si="2"/>
        <v>0.62812500000000004</v>
      </c>
      <c r="AB10" s="292">
        <f t="shared" si="3"/>
        <v>0.6372916666666667</v>
      </c>
      <c r="AC10" s="38" t="s">
        <v>129</v>
      </c>
      <c r="AD10" s="41"/>
    </row>
    <row r="11" spans="3:30" x14ac:dyDescent="0.25">
      <c r="C11" s="301"/>
      <c r="D11" s="64"/>
      <c r="E11" s="64"/>
      <c r="F11" s="64"/>
      <c r="G11" s="302"/>
      <c r="H11" s="64"/>
      <c r="I11" s="302"/>
      <c r="J11" s="64"/>
      <c r="K11" s="64"/>
      <c r="N11" s="294" t="s">
        <v>130</v>
      </c>
      <c r="O11" s="281" t="s">
        <v>367</v>
      </c>
      <c r="P11" s="282">
        <v>19</v>
      </c>
      <c r="Q11" s="282">
        <v>12.784000000000001</v>
      </c>
      <c r="R11" s="289">
        <v>14.817</v>
      </c>
      <c r="S11" s="291">
        <f t="shared" si="0"/>
        <v>0.67284210526315791</v>
      </c>
      <c r="T11" s="291">
        <f t="shared" si="1"/>
        <v>0.77984210526315789</v>
      </c>
      <c r="V11" s="295" t="s">
        <v>132</v>
      </c>
      <c r="W11" s="278" t="s">
        <v>367</v>
      </c>
      <c r="X11" s="279">
        <v>28.5</v>
      </c>
      <c r="Y11" s="279">
        <v>16.786000000000001</v>
      </c>
      <c r="Z11" s="280">
        <v>17.989000000000001</v>
      </c>
      <c r="AA11" s="292">
        <f t="shared" si="2"/>
        <v>0.58898245614035094</v>
      </c>
      <c r="AB11" s="292">
        <f t="shared" si="3"/>
        <v>0.63119298245614042</v>
      </c>
      <c r="AC11" s="38" t="s">
        <v>130</v>
      </c>
      <c r="AD11" s="41"/>
    </row>
    <row r="12" spans="3:30" x14ac:dyDescent="0.25">
      <c r="C12" s="301"/>
      <c r="D12" s="64"/>
      <c r="E12" s="64"/>
      <c r="F12" s="64"/>
      <c r="G12" s="303"/>
      <c r="H12" s="64"/>
      <c r="I12" s="303"/>
      <c r="J12" s="64"/>
      <c r="K12" s="64"/>
      <c r="N12" s="294" t="s">
        <v>294</v>
      </c>
      <c r="O12" s="281" t="s">
        <v>368</v>
      </c>
      <c r="P12" s="282">
        <v>4.8</v>
      </c>
      <c r="Q12" s="282">
        <v>3.7090000000000001</v>
      </c>
      <c r="R12" s="289">
        <v>3.665</v>
      </c>
      <c r="S12" s="291">
        <f t="shared" si="0"/>
        <v>0.77270833333333333</v>
      </c>
      <c r="T12" s="291">
        <f t="shared" si="1"/>
        <v>0.76354166666666667</v>
      </c>
      <c r="V12" s="295" t="s">
        <v>129</v>
      </c>
      <c r="W12" s="278" t="s">
        <v>367</v>
      </c>
      <c r="X12" s="279">
        <v>19</v>
      </c>
      <c r="Y12" s="279">
        <v>10.63</v>
      </c>
      <c r="Z12" s="280">
        <v>11.343</v>
      </c>
      <c r="AA12" s="292">
        <f t="shared" si="2"/>
        <v>0.55947368421052635</v>
      </c>
      <c r="AB12" s="292">
        <f t="shared" si="3"/>
        <v>0.59699999999999998</v>
      </c>
      <c r="AC12" s="38" t="s">
        <v>295</v>
      </c>
      <c r="AD12" s="41"/>
    </row>
    <row r="13" spans="3:30" x14ac:dyDescent="0.25">
      <c r="C13" s="301"/>
      <c r="D13" s="64"/>
      <c r="E13" s="64"/>
      <c r="F13" s="64"/>
      <c r="G13" s="302"/>
      <c r="H13" s="64"/>
      <c r="I13" s="302"/>
      <c r="J13" s="64"/>
      <c r="K13" s="64"/>
      <c r="N13" s="294" t="s">
        <v>133</v>
      </c>
      <c r="O13" s="281" t="s">
        <v>367</v>
      </c>
      <c r="P13" s="282">
        <v>19</v>
      </c>
      <c r="Q13" s="282">
        <v>16.46</v>
      </c>
      <c r="R13" s="289">
        <v>13.711</v>
      </c>
      <c r="S13" s="291">
        <f t="shared" si="0"/>
        <v>0.86631578947368426</v>
      </c>
      <c r="T13" s="291">
        <f t="shared" si="1"/>
        <v>0.7216315789473684</v>
      </c>
      <c r="V13" s="295" t="s">
        <v>130</v>
      </c>
      <c r="W13" s="278" t="s">
        <v>367</v>
      </c>
      <c r="X13" s="279">
        <v>19</v>
      </c>
      <c r="Y13" s="279">
        <v>9.2479999999999993</v>
      </c>
      <c r="Z13" s="280">
        <v>9.4949999999999992</v>
      </c>
      <c r="AA13" s="292">
        <f t="shared" si="2"/>
        <v>0.48673684210526313</v>
      </c>
      <c r="AB13" s="292">
        <f t="shared" si="3"/>
        <v>0.49973684210526309</v>
      </c>
      <c r="AC13" s="38" t="s">
        <v>132</v>
      </c>
      <c r="AD13" s="41"/>
    </row>
    <row r="14" spans="3:30" x14ac:dyDescent="0.25">
      <c r="C14" s="301"/>
      <c r="D14" s="64"/>
      <c r="E14" s="64"/>
      <c r="F14" s="64"/>
      <c r="G14" s="302"/>
      <c r="H14" s="64"/>
      <c r="I14" s="302"/>
      <c r="J14" s="64"/>
      <c r="K14" s="64"/>
      <c r="N14" s="294" t="s">
        <v>141</v>
      </c>
      <c r="O14" s="281" t="s">
        <v>368</v>
      </c>
      <c r="P14" s="282">
        <v>19</v>
      </c>
      <c r="Q14" s="282">
        <v>15.432</v>
      </c>
      <c r="R14" s="289">
        <v>12.379</v>
      </c>
      <c r="S14" s="291">
        <f t="shared" si="0"/>
        <v>0.81221052631578949</v>
      </c>
      <c r="T14" s="291">
        <f t="shared" si="1"/>
        <v>0.65152631578947362</v>
      </c>
      <c r="V14" s="295" t="s">
        <v>134</v>
      </c>
      <c r="W14" s="278" t="s">
        <v>368</v>
      </c>
      <c r="X14" s="279">
        <v>19</v>
      </c>
      <c r="Y14" s="279">
        <v>7.2389999999999999</v>
      </c>
      <c r="Z14" s="280">
        <v>9.3919999999999995</v>
      </c>
      <c r="AA14" s="292">
        <f t="shared" si="2"/>
        <v>0.38100000000000001</v>
      </c>
      <c r="AB14" s="292">
        <f t="shared" si="3"/>
        <v>0.49431578947368421</v>
      </c>
      <c r="AC14" s="38" t="s">
        <v>133</v>
      </c>
      <c r="AD14" s="41"/>
    </row>
    <row r="15" spans="3:30" x14ac:dyDescent="0.25">
      <c r="C15" s="301"/>
      <c r="D15" s="64"/>
      <c r="E15" s="64"/>
      <c r="F15" s="64"/>
      <c r="G15" s="302"/>
      <c r="H15" s="64"/>
      <c r="I15" s="302"/>
      <c r="J15" s="64"/>
      <c r="K15" s="64"/>
      <c r="N15" s="294" t="s">
        <v>139</v>
      </c>
      <c r="O15" s="281" t="s">
        <v>367</v>
      </c>
      <c r="P15" s="282">
        <v>19</v>
      </c>
      <c r="Q15" s="282">
        <v>10.457000000000001</v>
      </c>
      <c r="R15" s="289">
        <v>12.324999999999999</v>
      </c>
      <c r="S15" s="291">
        <f t="shared" si="0"/>
        <v>0.55036842105263162</v>
      </c>
      <c r="T15" s="291">
        <f t="shared" si="1"/>
        <v>0.64868421052631575</v>
      </c>
      <c r="V15" s="295" t="s">
        <v>334</v>
      </c>
      <c r="W15" s="278" t="s">
        <v>368</v>
      </c>
      <c r="X15" s="279">
        <v>19</v>
      </c>
      <c r="Y15" s="279">
        <v>7.7560000000000002</v>
      </c>
      <c r="Z15" s="280">
        <v>9.0540000000000003</v>
      </c>
      <c r="AA15" s="292">
        <f t="shared" si="2"/>
        <v>0.40821052631578947</v>
      </c>
      <c r="AB15" s="292">
        <f t="shared" si="3"/>
        <v>0.47652631578947369</v>
      </c>
      <c r="AC15" s="38" t="s">
        <v>134</v>
      </c>
      <c r="AD15" s="41"/>
    </row>
    <row r="16" spans="3:30" x14ac:dyDescent="0.25">
      <c r="C16" s="301"/>
      <c r="D16" s="64"/>
      <c r="E16" s="64"/>
      <c r="F16" s="64"/>
      <c r="G16" s="302"/>
      <c r="H16" s="64"/>
      <c r="I16" s="302"/>
      <c r="J16" s="64"/>
      <c r="K16" s="64"/>
      <c r="N16" s="295" t="s">
        <v>142</v>
      </c>
      <c r="O16" s="278" t="s">
        <v>367</v>
      </c>
      <c r="P16" s="279">
        <v>19</v>
      </c>
      <c r="Q16" s="279">
        <v>9.56</v>
      </c>
      <c r="R16" s="280">
        <v>11.093999999999999</v>
      </c>
      <c r="S16" s="292">
        <f t="shared" si="0"/>
        <v>0.50315789473684214</v>
      </c>
      <c r="T16" s="292">
        <f t="shared" si="1"/>
        <v>0.58389473684210524</v>
      </c>
      <c r="V16" s="295" t="s">
        <v>139</v>
      </c>
      <c r="W16" s="278" t="s">
        <v>367</v>
      </c>
      <c r="X16" s="279">
        <v>19</v>
      </c>
      <c r="Y16" s="279">
        <v>8.7579999999999991</v>
      </c>
      <c r="Z16" s="280">
        <v>8.9849999999999994</v>
      </c>
      <c r="AA16" s="292">
        <f t="shared" si="2"/>
        <v>0.46094736842105261</v>
      </c>
      <c r="AB16" s="292">
        <f t="shared" si="3"/>
        <v>0.47289473684210526</v>
      </c>
      <c r="AC16" s="38" t="s">
        <v>135</v>
      </c>
      <c r="AD16" s="41"/>
    </row>
    <row r="17" spans="3:30" x14ac:dyDescent="0.25">
      <c r="C17" s="301"/>
      <c r="D17" s="64"/>
      <c r="E17" s="304"/>
      <c r="F17" s="64"/>
      <c r="G17" s="302"/>
      <c r="H17" s="64"/>
      <c r="I17" s="302"/>
      <c r="J17" s="64"/>
      <c r="K17" s="64"/>
      <c r="N17" s="295" t="s">
        <v>126</v>
      </c>
      <c r="O17" s="278" t="s">
        <v>367</v>
      </c>
      <c r="P17" s="279">
        <v>28.5</v>
      </c>
      <c r="Q17" s="279">
        <v>14.792999999999999</v>
      </c>
      <c r="R17" s="280">
        <v>16.164000000000001</v>
      </c>
      <c r="S17" s="292">
        <f t="shared" si="0"/>
        <v>0.51905263157894732</v>
      </c>
      <c r="T17" s="292">
        <f t="shared" si="1"/>
        <v>0.56715789473684219</v>
      </c>
      <c r="V17" s="295" t="s">
        <v>362</v>
      </c>
      <c r="W17" s="278" t="s">
        <v>371</v>
      </c>
      <c r="X17" s="280">
        <f>20*0.95</f>
        <v>19</v>
      </c>
      <c r="Y17" s="280">
        <v>7.2530000000000001</v>
      </c>
      <c r="Z17" s="280">
        <v>8.3810000000000002</v>
      </c>
      <c r="AA17" s="292">
        <f t="shared" si="2"/>
        <v>0.38173684210526315</v>
      </c>
      <c r="AB17" s="292">
        <f t="shared" si="3"/>
        <v>0.44110526315789472</v>
      </c>
      <c r="AC17" s="234" t="s">
        <v>294</v>
      </c>
      <c r="AD17" s="41"/>
    </row>
    <row r="18" spans="3:30" x14ac:dyDescent="0.25">
      <c r="C18" s="301"/>
      <c r="D18" s="64"/>
      <c r="E18" s="64"/>
      <c r="F18" s="64"/>
      <c r="G18" s="302"/>
      <c r="H18" s="64"/>
      <c r="I18" s="302"/>
      <c r="J18" s="64"/>
      <c r="K18" s="64"/>
      <c r="N18" s="295" t="s">
        <v>135</v>
      </c>
      <c r="O18" s="278" t="s">
        <v>367</v>
      </c>
      <c r="P18" s="279">
        <v>19</v>
      </c>
      <c r="Q18" s="279">
        <v>9.5500000000000007</v>
      </c>
      <c r="R18" s="280">
        <v>10.664999999999999</v>
      </c>
      <c r="S18" s="292">
        <f t="shared" si="0"/>
        <v>0.50263157894736843</v>
      </c>
      <c r="T18" s="292">
        <f t="shared" si="1"/>
        <v>0.56131578947368421</v>
      </c>
      <c r="V18" s="295" t="s">
        <v>135</v>
      </c>
      <c r="W18" s="278" t="s">
        <v>367</v>
      </c>
      <c r="X18" s="279">
        <v>19</v>
      </c>
      <c r="Y18" s="279">
        <v>7.718</v>
      </c>
      <c r="Z18" s="280">
        <v>8.3101000000000003</v>
      </c>
      <c r="AA18" s="292">
        <f t="shared" si="2"/>
        <v>0.40621052631578947</v>
      </c>
      <c r="AB18" s="292">
        <f t="shared" si="3"/>
        <v>0.4373736842105263</v>
      </c>
      <c r="AC18" s="234" t="s">
        <v>145</v>
      </c>
      <c r="AD18" s="43"/>
    </row>
    <row r="19" spans="3:30" x14ac:dyDescent="0.25">
      <c r="C19" s="301"/>
      <c r="D19" s="64"/>
      <c r="E19" s="64"/>
      <c r="F19" s="64"/>
      <c r="G19" s="302"/>
      <c r="H19" s="64"/>
      <c r="I19" s="302"/>
      <c r="J19" s="64"/>
      <c r="K19" s="64"/>
      <c r="N19" s="295" t="s">
        <v>362</v>
      </c>
      <c r="O19" s="278" t="s">
        <v>371</v>
      </c>
      <c r="P19" s="280">
        <f>20*0.95</f>
        <v>19</v>
      </c>
      <c r="Q19" s="280">
        <v>0</v>
      </c>
      <c r="R19" s="280">
        <v>10.362</v>
      </c>
      <c r="S19" s="292">
        <f t="shared" si="0"/>
        <v>0</v>
      </c>
      <c r="T19" s="292">
        <f t="shared" si="1"/>
        <v>0.54536842105263161</v>
      </c>
      <c r="V19" s="295" t="s">
        <v>126</v>
      </c>
      <c r="W19" s="278" t="s">
        <v>367</v>
      </c>
      <c r="X19" s="279">
        <v>28.5</v>
      </c>
      <c r="Y19" s="279">
        <v>11.036</v>
      </c>
      <c r="Z19" s="280">
        <v>12.057</v>
      </c>
      <c r="AA19" s="292">
        <f t="shared" si="2"/>
        <v>0.38722807017543859</v>
      </c>
      <c r="AB19" s="292">
        <f t="shared" si="3"/>
        <v>0.4230526315789474</v>
      </c>
      <c r="AC19" s="38" t="s">
        <v>141</v>
      </c>
      <c r="AD19" s="41"/>
    </row>
    <row r="20" spans="3:30" x14ac:dyDescent="0.25">
      <c r="C20" s="301"/>
      <c r="D20" s="64"/>
      <c r="E20" s="64"/>
      <c r="F20" s="64"/>
      <c r="G20" s="302"/>
      <c r="H20" s="64"/>
      <c r="I20" s="302"/>
      <c r="J20" s="64"/>
      <c r="K20" s="64"/>
      <c r="N20" s="295" t="s">
        <v>127</v>
      </c>
      <c r="O20" s="278" t="s">
        <v>367</v>
      </c>
      <c r="P20" s="279">
        <v>28.5</v>
      </c>
      <c r="Q20" s="279">
        <v>16.233000000000001</v>
      </c>
      <c r="R20" s="280">
        <v>15.034000000000001</v>
      </c>
      <c r="S20" s="292">
        <f t="shared" si="0"/>
        <v>0.56957894736842107</v>
      </c>
      <c r="T20" s="292">
        <f t="shared" si="1"/>
        <v>0.52750877192982459</v>
      </c>
      <c r="V20" s="295" t="s">
        <v>127</v>
      </c>
      <c r="W20" s="278" t="s">
        <v>367</v>
      </c>
      <c r="X20" s="279">
        <v>28.5</v>
      </c>
      <c r="Y20" s="279">
        <v>11.416</v>
      </c>
      <c r="Z20" s="280">
        <v>12.006</v>
      </c>
      <c r="AA20" s="292">
        <f t="shared" si="2"/>
        <v>0.40056140350877195</v>
      </c>
      <c r="AB20" s="292">
        <f t="shared" si="3"/>
        <v>0.42126315789473684</v>
      </c>
      <c r="AC20" s="38" t="s">
        <v>142</v>
      </c>
      <c r="AD20" s="41"/>
    </row>
    <row r="21" spans="3:30" x14ac:dyDescent="0.25">
      <c r="C21" s="301"/>
      <c r="D21" s="64"/>
      <c r="E21" s="64"/>
      <c r="F21" s="64"/>
      <c r="G21" s="302"/>
      <c r="H21" s="64"/>
      <c r="I21" s="302"/>
      <c r="J21" s="64"/>
      <c r="K21" s="64"/>
      <c r="N21" s="295" t="s">
        <v>334</v>
      </c>
      <c r="O21" s="278" t="s">
        <v>368</v>
      </c>
      <c r="P21" s="279">
        <v>19</v>
      </c>
      <c r="Q21" s="279">
        <v>9.1</v>
      </c>
      <c r="R21" s="280">
        <v>9.6820000000000004</v>
      </c>
      <c r="S21" s="292">
        <f t="shared" si="0"/>
        <v>0.47894736842105262</v>
      </c>
      <c r="T21" s="292">
        <f t="shared" si="1"/>
        <v>0.50957894736842102</v>
      </c>
      <c r="V21" s="295" t="s">
        <v>142</v>
      </c>
      <c r="W21" s="278" t="s">
        <v>367</v>
      </c>
      <c r="X21" s="279">
        <v>19</v>
      </c>
      <c r="Y21" s="279">
        <v>7.6130000000000004</v>
      </c>
      <c r="Z21" s="280">
        <v>7.9550000000000001</v>
      </c>
      <c r="AA21" s="292">
        <f t="shared" si="2"/>
        <v>0.40068421052631581</v>
      </c>
      <c r="AB21" s="292">
        <f t="shared" si="3"/>
        <v>0.41868421052631577</v>
      </c>
      <c r="AC21" s="38" t="s">
        <v>158</v>
      </c>
      <c r="AD21" s="41"/>
    </row>
    <row r="22" spans="3:30" x14ac:dyDescent="0.25">
      <c r="C22" s="301"/>
      <c r="D22" s="64"/>
      <c r="E22" s="64"/>
      <c r="F22" s="64"/>
      <c r="G22" s="302"/>
      <c r="H22" s="64"/>
      <c r="I22" s="302"/>
      <c r="J22" s="64"/>
      <c r="K22" s="64"/>
      <c r="N22" s="295" t="s">
        <v>143</v>
      </c>
      <c r="O22" s="278" t="s">
        <v>368</v>
      </c>
      <c r="P22" s="279">
        <v>8.9</v>
      </c>
      <c r="Q22" s="279">
        <v>5.2910000000000004</v>
      </c>
      <c r="R22" s="280">
        <v>4.53</v>
      </c>
      <c r="S22" s="292">
        <f t="shared" si="0"/>
        <v>0.59449438202247196</v>
      </c>
      <c r="T22" s="292">
        <f t="shared" si="1"/>
        <v>0.50898876404494386</v>
      </c>
      <c r="V22" s="295" t="s">
        <v>143</v>
      </c>
      <c r="W22" s="278" t="s">
        <v>368</v>
      </c>
      <c r="X22" s="279">
        <v>8.9</v>
      </c>
      <c r="Y22" s="279">
        <v>3.399</v>
      </c>
      <c r="Z22" s="280">
        <v>3.49</v>
      </c>
      <c r="AA22" s="292">
        <f t="shared" si="2"/>
        <v>0.38191011235955052</v>
      </c>
      <c r="AB22" s="292">
        <f t="shared" si="3"/>
        <v>0.39213483146067418</v>
      </c>
      <c r="AC22" s="38" t="s">
        <v>143</v>
      </c>
      <c r="AD22" s="41"/>
    </row>
    <row r="23" spans="3:30" x14ac:dyDescent="0.25">
      <c r="C23" s="301"/>
      <c r="D23" s="64"/>
      <c r="E23" s="64"/>
      <c r="F23" s="64"/>
      <c r="G23" s="302"/>
      <c r="H23" s="64"/>
      <c r="I23" s="302"/>
      <c r="J23" s="64"/>
      <c r="K23" s="64"/>
      <c r="N23" s="295" t="s">
        <v>134</v>
      </c>
      <c r="O23" s="278" t="s">
        <v>368</v>
      </c>
      <c r="P23" s="279">
        <v>19</v>
      </c>
      <c r="Q23" s="279">
        <v>8.4369999999999994</v>
      </c>
      <c r="R23" s="280">
        <v>9.452</v>
      </c>
      <c r="S23" s="292">
        <f t="shared" si="0"/>
        <v>0.44405263157894731</v>
      </c>
      <c r="T23" s="292">
        <f t="shared" si="1"/>
        <v>0.49747368421052629</v>
      </c>
      <c r="V23" s="295" t="s">
        <v>141</v>
      </c>
      <c r="W23" s="278" t="s">
        <v>368</v>
      </c>
      <c r="X23" s="279">
        <v>19</v>
      </c>
      <c r="Y23" s="279">
        <v>5.9960000000000004</v>
      </c>
      <c r="Z23" s="280">
        <v>6.9710000000000001</v>
      </c>
      <c r="AA23" s="292">
        <f t="shared" si="2"/>
        <v>0.31557894736842107</v>
      </c>
      <c r="AB23" s="292">
        <f t="shared" si="3"/>
        <v>0.36689473684210527</v>
      </c>
      <c r="AC23" s="38" t="s">
        <v>144</v>
      </c>
      <c r="AD23" s="41"/>
    </row>
    <row r="24" spans="3:30" x14ac:dyDescent="0.25">
      <c r="C24" s="301"/>
      <c r="D24" s="64"/>
      <c r="E24" s="64"/>
      <c r="F24" s="64"/>
      <c r="G24" s="302"/>
      <c r="H24" s="64"/>
      <c r="I24" s="302"/>
      <c r="J24" s="64"/>
      <c r="K24" s="64"/>
      <c r="N24" s="295" t="s">
        <v>145</v>
      </c>
      <c r="O24" s="278" t="s">
        <v>366</v>
      </c>
      <c r="P24" s="280">
        <v>8.9</v>
      </c>
      <c r="Q24" s="280">
        <v>3.3</v>
      </c>
      <c r="R24" s="280">
        <v>3.57</v>
      </c>
      <c r="S24" s="292">
        <f t="shared" si="0"/>
        <v>0.37078651685393255</v>
      </c>
      <c r="T24" s="292">
        <f t="shared" si="1"/>
        <v>0.40112359550561794</v>
      </c>
      <c r="V24" s="295" t="s">
        <v>137</v>
      </c>
      <c r="W24" s="278" t="s">
        <v>368</v>
      </c>
      <c r="X24" s="279">
        <v>19</v>
      </c>
      <c r="Y24" s="279">
        <v>5.5890000000000004</v>
      </c>
      <c r="Z24" s="280">
        <v>6.7859999999999996</v>
      </c>
      <c r="AA24" s="292">
        <f t="shared" si="2"/>
        <v>0.29415789473684212</v>
      </c>
      <c r="AB24" s="292">
        <f t="shared" si="3"/>
        <v>0.35715789473684206</v>
      </c>
      <c r="AC24" s="38" t="s">
        <v>296</v>
      </c>
      <c r="AD24" s="43"/>
    </row>
    <row r="25" spans="3:30" x14ac:dyDescent="0.25">
      <c r="C25" s="301"/>
      <c r="D25" s="64"/>
      <c r="E25" s="64"/>
      <c r="F25" s="64"/>
      <c r="G25" s="302"/>
      <c r="H25" s="64"/>
      <c r="I25" s="302"/>
      <c r="J25" s="64"/>
      <c r="K25" s="64"/>
      <c r="N25" s="295" t="s">
        <v>140</v>
      </c>
      <c r="O25" s="278" t="s">
        <v>367</v>
      </c>
      <c r="P25" s="279">
        <v>19</v>
      </c>
      <c r="Q25" s="279">
        <v>6.0259999999999998</v>
      </c>
      <c r="R25" s="280">
        <v>6.9969999999999999</v>
      </c>
      <c r="S25" s="292">
        <f t="shared" si="0"/>
        <v>0.31715789473684208</v>
      </c>
      <c r="T25" s="292">
        <f t="shared" si="1"/>
        <v>0.36826315789473685</v>
      </c>
      <c r="V25" s="295" t="s">
        <v>145</v>
      </c>
      <c r="W25" s="278" t="s">
        <v>366</v>
      </c>
      <c r="X25" s="280">
        <v>8.9</v>
      </c>
      <c r="Y25" s="280">
        <v>2.827</v>
      </c>
      <c r="Z25" s="280">
        <v>3.1219999999999999</v>
      </c>
      <c r="AA25" s="292">
        <f t="shared" si="2"/>
        <v>0.31764044943820224</v>
      </c>
      <c r="AB25" s="292">
        <f t="shared" si="3"/>
        <v>0.35078651685393258</v>
      </c>
      <c r="AC25" s="38" t="s">
        <v>148</v>
      </c>
      <c r="AD25" s="43"/>
    </row>
    <row r="26" spans="3:30" x14ac:dyDescent="0.25">
      <c r="C26" s="301"/>
      <c r="D26" s="64"/>
      <c r="E26" s="64"/>
      <c r="F26" s="64"/>
      <c r="G26" s="302"/>
      <c r="H26" s="64"/>
      <c r="I26" s="302"/>
      <c r="J26" s="64"/>
      <c r="K26" s="64"/>
      <c r="N26" s="295" t="s">
        <v>137</v>
      </c>
      <c r="O26" s="278" t="s">
        <v>368</v>
      </c>
      <c r="P26" s="279">
        <v>19</v>
      </c>
      <c r="Q26" s="279">
        <v>7.9720000000000004</v>
      </c>
      <c r="R26" s="280">
        <v>6.8449999999999998</v>
      </c>
      <c r="S26" s="292">
        <f t="shared" si="0"/>
        <v>0.41957894736842105</v>
      </c>
      <c r="T26" s="292">
        <f t="shared" si="1"/>
        <v>0.36026315789473684</v>
      </c>
      <c r="V26" s="295" t="s">
        <v>296</v>
      </c>
      <c r="W26" s="278" t="s">
        <v>366</v>
      </c>
      <c r="X26" s="280">
        <v>5.9</v>
      </c>
      <c r="Y26" s="280">
        <v>1.7889999999999999</v>
      </c>
      <c r="Z26" s="280">
        <v>1.7010000000000001</v>
      </c>
      <c r="AA26" s="292">
        <f t="shared" si="2"/>
        <v>0.30322033898305084</v>
      </c>
      <c r="AB26" s="292">
        <f t="shared" si="3"/>
        <v>0.28830508474576272</v>
      </c>
      <c r="AC26" s="38" t="s">
        <v>139</v>
      </c>
      <c r="AD26" s="41"/>
    </row>
    <row r="27" spans="3:30" x14ac:dyDescent="0.25">
      <c r="C27" s="301"/>
      <c r="D27" s="64"/>
      <c r="E27" s="64"/>
      <c r="F27" s="64"/>
      <c r="G27" s="302"/>
      <c r="H27" s="64"/>
      <c r="I27" s="302"/>
      <c r="J27" s="64"/>
      <c r="K27" s="64"/>
      <c r="N27" s="295" t="s">
        <v>296</v>
      </c>
      <c r="O27" s="278" t="s">
        <v>366</v>
      </c>
      <c r="P27" s="280">
        <v>5.9</v>
      </c>
      <c r="Q27" s="280">
        <v>1.8</v>
      </c>
      <c r="R27" s="280">
        <v>1.875</v>
      </c>
      <c r="S27" s="292">
        <f t="shared" si="0"/>
        <v>0.30508474576271183</v>
      </c>
      <c r="T27" s="292">
        <f t="shared" si="1"/>
        <v>0.31779661016949151</v>
      </c>
      <c r="V27" s="295" t="s">
        <v>138</v>
      </c>
      <c r="W27" s="278" t="s">
        <v>368</v>
      </c>
      <c r="X27" s="279">
        <v>19</v>
      </c>
      <c r="Y27" s="279">
        <v>4.8739999999999997</v>
      </c>
      <c r="Z27" s="280">
        <v>5.2789999999999999</v>
      </c>
      <c r="AA27" s="292">
        <f t="shared" si="2"/>
        <v>0.25652631578947366</v>
      </c>
      <c r="AB27" s="292">
        <f t="shared" si="3"/>
        <v>0.27784210526315789</v>
      </c>
      <c r="AC27" s="38" t="s">
        <v>137</v>
      </c>
      <c r="AD27" s="213"/>
    </row>
    <row r="28" spans="3:30" x14ac:dyDescent="0.25">
      <c r="C28" s="301"/>
      <c r="D28" s="64"/>
      <c r="E28" s="64"/>
      <c r="F28" s="64"/>
      <c r="G28" s="302"/>
      <c r="H28" s="64"/>
      <c r="I28" s="302"/>
      <c r="J28" s="64"/>
      <c r="K28" s="64"/>
      <c r="N28" s="295" t="s">
        <v>138</v>
      </c>
      <c r="O28" s="278" t="s">
        <v>368</v>
      </c>
      <c r="P28" s="279">
        <v>19</v>
      </c>
      <c r="Q28" s="279">
        <v>5.2089999999999996</v>
      </c>
      <c r="R28" s="280">
        <v>5.9960000000000004</v>
      </c>
      <c r="S28" s="292">
        <f t="shared" si="0"/>
        <v>0.2741578947368421</v>
      </c>
      <c r="T28" s="292">
        <f t="shared" si="1"/>
        <v>0.31557894736842107</v>
      </c>
      <c r="V28" s="295" t="s">
        <v>140</v>
      </c>
      <c r="W28" s="278" t="s">
        <v>367</v>
      </c>
      <c r="X28" s="279">
        <v>19</v>
      </c>
      <c r="Y28" s="279">
        <v>4.9560000000000004</v>
      </c>
      <c r="Z28" s="280">
        <v>5.19</v>
      </c>
      <c r="AA28" s="292">
        <f t="shared" si="2"/>
        <v>0.26084210526315793</v>
      </c>
      <c r="AB28" s="292">
        <f t="shared" si="3"/>
        <v>0.2731578947368421</v>
      </c>
      <c r="AC28" s="38" t="s">
        <v>138</v>
      </c>
      <c r="AD28" s="213"/>
    </row>
    <row r="29" spans="3:30" x14ac:dyDescent="0.25">
      <c r="C29" s="301"/>
      <c r="D29" s="64"/>
      <c r="E29" s="64"/>
      <c r="F29" s="64"/>
      <c r="G29" s="302"/>
      <c r="H29" s="64"/>
      <c r="I29" s="302"/>
      <c r="J29" s="64"/>
      <c r="K29" s="64"/>
      <c r="N29" s="295" t="s">
        <v>295</v>
      </c>
      <c r="O29" s="278" t="s">
        <v>367</v>
      </c>
      <c r="P29" s="279">
        <v>11.9</v>
      </c>
      <c r="Q29" s="279">
        <v>3.5750000000000002</v>
      </c>
      <c r="R29" s="280">
        <v>3.7309999999999999</v>
      </c>
      <c r="S29" s="292">
        <f t="shared" si="0"/>
        <v>0.30042016806722688</v>
      </c>
      <c r="T29" s="292">
        <f t="shared" si="1"/>
        <v>0.31352941176470589</v>
      </c>
      <c r="V29" s="295" t="s">
        <v>295</v>
      </c>
      <c r="W29" s="278" t="s">
        <v>367</v>
      </c>
      <c r="X29" s="279">
        <v>11.9</v>
      </c>
      <c r="Y29" s="279">
        <v>3</v>
      </c>
      <c r="Z29" s="280">
        <v>3.2</v>
      </c>
      <c r="AA29" s="292">
        <f t="shared" si="2"/>
        <v>0.25210084033613445</v>
      </c>
      <c r="AB29" s="292">
        <f t="shared" si="3"/>
        <v>0.26890756302521007</v>
      </c>
      <c r="AC29" s="38" t="s">
        <v>140</v>
      </c>
      <c r="AD29" s="213"/>
    </row>
    <row r="30" spans="3:30" x14ac:dyDescent="0.25">
      <c r="C30" s="64"/>
      <c r="D30" s="64"/>
      <c r="E30" s="64"/>
      <c r="F30" s="64"/>
      <c r="G30" s="302"/>
      <c r="H30" s="64"/>
      <c r="I30" s="302"/>
      <c r="J30" s="64"/>
      <c r="K30" s="64"/>
      <c r="N30" s="295" t="s">
        <v>144</v>
      </c>
      <c r="O30" s="278" t="s">
        <v>368</v>
      </c>
      <c r="P30" s="279">
        <v>19</v>
      </c>
      <c r="Q30" s="279">
        <v>4.6130000000000004</v>
      </c>
      <c r="R30" s="280">
        <v>5.51</v>
      </c>
      <c r="S30" s="292">
        <f t="shared" si="0"/>
        <v>0.24278947368421055</v>
      </c>
      <c r="T30" s="292">
        <f t="shared" si="1"/>
        <v>0.28999999999999998</v>
      </c>
      <c r="V30" s="295" t="s">
        <v>144</v>
      </c>
      <c r="W30" s="278" t="s">
        <v>368</v>
      </c>
      <c r="X30" s="279">
        <v>19</v>
      </c>
      <c r="Y30" s="279">
        <v>4.87</v>
      </c>
      <c r="Z30" s="280">
        <v>4.3819999999999997</v>
      </c>
      <c r="AA30" s="292">
        <f t="shared" si="2"/>
        <v>0.25631578947368422</v>
      </c>
      <c r="AB30" s="292">
        <f t="shared" si="3"/>
        <v>0.23063157894736841</v>
      </c>
      <c r="AC30" s="38" t="s">
        <v>147</v>
      </c>
      <c r="AD30" s="178"/>
    </row>
    <row r="31" spans="3:30" x14ac:dyDescent="0.25">
      <c r="C31" s="64"/>
      <c r="D31" s="64"/>
      <c r="E31" s="64"/>
      <c r="F31" s="64"/>
      <c r="G31" s="64"/>
      <c r="H31" s="64"/>
      <c r="I31" s="64"/>
      <c r="J31" s="64"/>
      <c r="K31" s="64"/>
      <c r="N31" s="295" t="s">
        <v>128</v>
      </c>
      <c r="O31" s="278" t="s">
        <v>368</v>
      </c>
      <c r="P31" s="279">
        <v>19</v>
      </c>
      <c r="Q31" s="279">
        <v>3.67</v>
      </c>
      <c r="R31" s="280">
        <v>4.2729999999999997</v>
      </c>
      <c r="S31" s="292">
        <f t="shared" si="0"/>
        <v>0.19315789473684211</v>
      </c>
      <c r="T31" s="292">
        <f t="shared" si="1"/>
        <v>0.22489473684210526</v>
      </c>
      <c r="V31" s="295" t="s">
        <v>128</v>
      </c>
      <c r="W31" s="278" t="s">
        <v>368</v>
      </c>
      <c r="X31" s="279">
        <v>19</v>
      </c>
      <c r="Y31" s="279">
        <v>3.2909999999999999</v>
      </c>
      <c r="Z31" s="280">
        <v>4.0739999999999998</v>
      </c>
      <c r="AA31" s="292">
        <f t="shared" si="2"/>
        <v>0.17321052631578948</v>
      </c>
      <c r="AB31" s="292">
        <f t="shared" si="3"/>
        <v>0.21442105263157893</v>
      </c>
      <c r="AC31" s="38" t="s">
        <v>334</v>
      </c>
      <c r="AD31" s="213"/>
    </row>
    <row r="32" spans="3:30" x14ac:dyDescent="0.25">
      <c r="C32" s="64"/>
      <c r="D32" s="64"/>
      <c r="E32" s="64"/>
      <c r="F32" s="64"/>
      <c r="G32" s="64"/>
      <c r="H32" s="64"/>
      <c r="I32" s="64"/>
      <c r="J32" s="64"/>
      <c r="K32" s="64"/>
      <c r="N32" s="295" t="s">
        <v>158</v>
      </c>
      <c r="O32" s="278" t="s">
        <v>368</v>
      </c>
      <c r="P32" s="279">
        <v>19</v>
      </c>
      <c r="Q32" s="279">
        <v>3.6869999999999998</v>
      </c>
      <c r="R32" s="280">
        <v>3.9409999999999998</v>
      </c>
      <c r="S32" s="292">
        <f t="shared" si="0"/>
        <v>0.19405263157894737</v>
      </c>
      <c r="T32" s="292">
        <f t="shared" si="1"/>
        <v>0.20742105263157895</v>
      </c>
      <c r="V32" s="295" t="s">
        <v>158</v>
      </c>
      <c r="W32" s="278" t="s">
        <v>368</v>
      </c>
      <c r="X32" s="279">
        <v>19</v>
      </c>
      <c r="Y32" s="279">
        <v>3.13</v>
      </c>
      <c r="Z32" s="280">
        <v>3.1720000000000002</v>
      </c>
      <c r="AA32" s="292">
        <f t="shared" si="2"/>
        <v>0.16473684210526315</v>
      </c>
      <c r="AB32" s="292">
        <f t="shared" si="3"/>
        <v>0.16694736842105265</v>
      </c>
      <c r="AC32" s="38" t="s">
        <v>362</v>
      </c>
      <c r="AD32" s="286"/>
    </row>
    <row r="33" spans="3:25" x14ac:dyDescent="0.25">
      <c r="C33" s="64"/>
      <c r="D33" s="64"/>
      <c r="E33" s="64"/>
      <c r="F33" s="64"/>
      <c r="G33" s="64"/>
      <c r="H33" s="305"/>
      <c r="I33" s="64"/>
      <c r="J33" s="64"/>
      <c r="K33" s="64"/>
    </row>
    <row r="34" spans="3:25" x14ac:dyDescent="0.25">
      <c r="C34" s="64"/>
      <c r="D34" s="64"/>
      <c r="E34" s="64"/>
      <c r="F34" s="64"/>
      <c r="G34" s="64"/>
      <c r="H34" s="64"/>
      <c r="I34" s="64"/>
      <c r="J34" s="64"/>
      <c r="K34" s="64"/>
    </row>
    <row r="35" spans="3:25" x14ac:dyDescent="0.25">
      <c r="N35" s="394" t="s">
        <v>21</v>
      </c>
      <c r="O35" s="394" t="s">
        <v>365</v>
      </c>
      <c r="P35" s="394" t="s">
        <v>370</v>
      </c>
      <c r="Q35" s="394" t="s">
        <v>391</v>
      </c>
      <c r="R35" s="394" t="s">
        <v>373</v>
      </c>
      <c r="S35" s="394" t="s">
        <v>377</v>
      </c>
      <c r="T35" s="394" t="s">
        <v>374</v>
      </c>
      <c r="X35" s="318" t="s">
        <v>386</v>
      </c>
      <c r="Y35" s="319" t="s">
        <v>387</v>
      </c>
    </row>
    <row r="36" spans="3:25" x14ac:dyDescent="0.25">
      <c r="N36" s="394"/>
      <c r="O36" s="394"/>
      <c r="P36" s="394"/>
      <c r="Q36" s="394"/>
      <c r="R36" s="394"/>
      <c r="S36" s="394"/>
      <c r="T36" s="394"/>
      <c r="X36" s="323" t="s">
        <v>388</v>
      </c>
      <c r="Y36" s="320"/>
    </row>
    <row r="37" spans="3:25" x14ac:dyDescent="0.25">
      <c r="N37" s="394"/>
      <c r="O37" s="394"/>
      <c r="P37" s="394"/>
      <c r="Q37" s="394"/>
      <c r="R37" s="394"/>
      <c r="S37" s="394"/>
      <c r="T37" s="394"/>
      <c r="X37" s="324" t="s">
        <v>389</v>
      </c>
      <c r="Y37" s="321"/>
    </row>
    <row r="38" spans="3:25" x14ac:dyDescent="0.25">
      <c r="N38" s="260" t="s">
        <v>147</v>
      </c>
      <c r="O38" s="261" t="s">
        <v>366</v>
      </c>
      <c r="P38" s="274">
        <v>8.9</v>
      </c>
      <c r="Q38" s="274">
        <v>8.3000000000000007</v>
      </c>
      <c r="R38" s="276">
        <v>8.3000000000000007</v>
      </c>
      <c r="S38" s="275">
        <f>Q38/P38</f>
        <v>0.93258426966292141</v>
      </c>
      <c r="T38" s="275">
        <f>R38/P38</f>
        <v>0.93258426966292141</v>
      </c>
      <c r="X38" s="324" t="s">
        <v>390</v>
      </c>
      <c r="Y38" s="322"/>
    </row>
    <row r="39" spans="3:25" x14ac:dyDescent="0.25">
      <c r="N39" s="260" t="s">
        <v>148</v>
      </c>
      <c r="O39" s="261" t="s">
        <v>366</v>
      </c>
      <c r="P39" s="274">
        <v>8.9</v>
      </c>
      <c r="Q39" s="274">
        <v>6.9</v>
      </c>
      <c r="R39" s="276">
        <v>7.8</v>
      </c>
      <c r="S39" s="275">
        <f>Q39/P39</f>
        <v>0.7752808988764045</v>
      </c>
      <c r="T39" s="275">
        <f>R39/P39</f>
        <v>0.87640449438202239</v>
      </c>
    </row>
    <row r="40" spans="3:25" x14ac:dyDescent="0.25">
      <c r="N40" s="260" t="s">
        <v>145</v>
      </c>
      <c r="O40" s="261" t="s">
        <v>366</v>
      </c>
      <c r="P40" s="274">
        <v>8.9</v>
      </c>
      <c r="Q40" s="274">
        <v>3.6</v>
      </c>
      <c r="R40" s="276">
        <v>3.6</v>
      </c>
      <c r="S40" s="275">
        <f>Q40/P40</f>
        <v>0.4044943820224719</v>
      </c>
      <c r="T40" s="275">
        <f>R40/P40</f>
        <v>0.4044943820224719</v>
      </c>
    </row>
    <row r="41" spans="3:25" x14ac:dyDescent="0.25">
      <c r="N41" s="260" t="s">
        <v>296</v>
      </c>
      <c r="O41" s="261" t="s">
        <v>366</v>
      </c>
      <c r="P41" s="274">
        <v>5.9</v>
      </c>
      <c r="Q41" s="274">
        <v>1.9</v>
      </c>
      <c r="R41" s="276">
        <v>1.9</v>
      </c>
      <c r="S41" s="275">
        <f>Q41/P41</f>
        <v>0.32203389830508472</v>
      </c>
      <c r="T41" s="275">
        <f>R41/P41</f>
        <v>0.32203389830508472</v>
      </c>
    </row>
    <row r="42" spans="3:25" x14ac:dyDescent="0.25">
      <c r="N42" s="260"/>
      <c r="O42" s="261"/>
      <c r="P42" s="274"/>
      <c r="Q42" s="274"/>
      <c r="R42" s="276"/>
      <c r="S42" s="275"/>
      <c r="T42" s="274"/>
    </row>
    <row r="43" spans="3:25" x14ac:dyDescent="0.25">
      <c r="N43" s="260"/>
      <c r="O43" s="261"/>
      <c r="P43" s="274"/>
      <c r="Q43" s="274"/>
      <c r="R43" s="276"/>
      <c r="S43" s="275"/>
      <c r="T43" s="274"/>
    </row>
    <row r="44" spans="3:25" x14ac:dyDescent="0.25">
      <c r="T44" s="284"/>
    </row>
    <row r="45" spans="3:25" x14ac:dyDescent="0.25">
      <c r="N45" s="166"/>
      <c r="O45" s="166"/>
      <c r="P45" s="166"/>
      <c r="Q45" s="166"/>
      <c r="R45" s="166"/>
    </row>
    <row r="46" spans="3:25" x14ac:dyDescent="0.25">
      <c r="N46" s="166"/>
      <c r="O46" s="166"/>
      <c r="P46" s="277"/>
      <c r="Q46" s="166"/>
      <c r="R46" s="166"/>
    </row>
    <row r="47" spans="3:25" x14ac:dyDescent="0.25">
      <c r="O47" s="166"/>
      <c r="P47" s="277"/>
    </row>
    <row r="55" spans="19:25" x14ac:dyDescent="0.25">
      <c r="S55" s="296"/>
      <c r="T55" s="85"/>
      <c r="U55" s="284"/>
      <c r="V55" s="284"/>
      <c r="W55" s="285"/>
      <c r="X55" s="297"/>
      <c r="Y55" s="284"/>
    </row>
    <row r="56" spans="19:25" x14ac:dyDescent="0.25">
      <c r="S56" s="296"/>
      <c r="T56" s="85"/>
      <c r="U56" s="284"/>
      <c r="V56" s="284"/>
      <c r="W56" s="285"/>
      <c r="X56" s="297"/>
      <c r="Y56" s="284"/>
    </row>
    <row r="57" spans="19:25" x14ac:dyDescent="0.25">
      <c r="S57" s="296"/>
      <c r="T57" s="85"/>
      <c r="U57" s="284"/>
      <c r="V57" s="284"/>
      <c r="W57" s="285"/>
      <c r="X57" s="297"/>
      <c r="Y57" s="284"/>
    </row>
    <row r="58" spans="19:25" x14ac:dyDescent="0.25">
      <c r="S58" s="296"/>
      <c r="T58" s="85"/>
      <c r="U58" s="284"/>
      <c r="V58" s="284"/>
      <c r="W58" s="285"/>
      <c r="X58" s="297"/>
      <c r="Y58" s="284"/>
    </row>
    <row r="59" spans="19:25" x14ac:dyDescent="0.25">
      <c r="S59" s="296"/>
      <c r="T59" s="85"/>
      <c r="U59" s="284"/>
      <c r="V59" s="284"/>
      <c r="W59" s="285"/>
      <c r="X59" s="297"/>
      <c r="Y59" s="284"/>
    </row>
    <row r="60" spans="19:25" x14ac:dyDescent="0.25">
      <c r="S60" s="296"/>
      <c r="T60" s="85"/>
      <c r="U60" s="284"/>
      <c r="V60" s="284"/>
      <c r="W60" s="285"/>
      <c r="X60" s="297"/>
      <c r="Y60" s="284"/>
    </row>
    <row r="61" spans="19:25" x14ac:dyDescent="0.25">
      <c r="S61" s="296"/>
      <c r="T61" s="85"/>
      <c r="U61" s="284"/>
      <c r="V61" s="284"/>
      <c r="W61" s="285"/>
      <c r="X61" s="297"/>
      <c r="Y61" s="284"/>
    </row>
    <row r="62" spans="19:25" x14ac:dyDescent="0.25">
      <c r="S62" s="296"/>
      <c r="T62" s="85"/>
      <c r="U62" s="284"/>
      <c r="V62" s="284"/>
      <c r="W62" s="285"/>
      <c r="X62" s="297"/>
      <c r="Y62" s="284"/>
    </row>
    <row r="63" spans="19:25" x14ac:dyDescent="0.25">
      <c r="S63" s="48"/>
      <c r="T63" s="48"/>
      <c r="U63" s="48"/>
      <c r="V63" s="48"/>
      <c r="W63" s="48"/>
      <c r="X63" s="48"/>
      <c r="Y63" s="284"/>
    </row>
    <row r="64" spans="19:25" x14ac:dyDescent="0.25">
      <c r="S64" s="296"/>
      <c r="T64" s="85"/>
      <c r="U64" s="284"/>
      <c r="V64" s="284"/>
      <c r="W64" s="285"/>
      <c r="X64" s="297"/>
      <c r="Y64" s="284"/>
    </row>
    <row r="65" spans="19:25" x14ac:dyDescent="0.25">
      <c r="S65" s="296"/>
      <c r="T65" s="85"/>
      <c r="U65" s="284"/>
      <c r="V65" s="284"/>
      <c r="W65" s="285"/>
      <c r="X65" s="297"/>
      <c r="Y65" s="284"/>
    </row>
    <row r="66" spans="19:25" x14ac:dyDescent="0.25">
      <c r="S66" s="48"/>
      <c r="T66" s="48"/>
      <c r="U66" s="48"/>
      <c r="V66" s="48"/>
      <c r="W66" s="48"/>
      <c r="X66" s="48"/>
      <c r="Y66" s="284"/>
    </row>
    <row r="67" spans="19:25" x14ac:dyDescent="0.25">
      <c r="S67" s="296"/>
      <c r="T67" s="85"/>
      <c r="U67" s="284"/>
      <c r="V67" s="284"/>
      <c r="W67" s="285"/>
      <c r="X67" s="297"/>
      <c r="Y67" s="284"/>
    </row>
    <row r="68" spans="19:25" x14ac:dyDescent="0.25">
      <c r="S68" s="296"/>
      <c r="T68" s="85"/>
      <c r="U68" s="284"/>
      <c r="V68" s="284"/>
      <c r="W68" s="285"/>
      <c r="X68" s="297"/>
      <c r="Y68" s="284"/>
    </row>
    <row r="69" spans="19:25" x14ac:dyDescent="0.25">
      <c r="S69" s="296"/>
      <c r="T69" s="85"/>
      <c r="U69" s="284"/>
      <c r="V69" s="284"/>
      <c r="W69" s="285"/>
      <c r="X69" s="297"/>
      <c r="Y69" s="284"/>
    </row>
    <row r="70" spans="19:25" x14ac:dyDescent="0.25">
      <c r="S70" s="296"/>
      <c r="T70" s="85"/>
      <c r="U70" s="284"/>
      <c r="V70" s="284"/>
      <c r="W70" s="285"/>
      <c r="X70" s="297"/>
      <c r="Y70" s="284"/>
    </row>
    <row r="71" spans="19:25" x14ac:dyDescent="0.25">
      <c r="S71" s="296"/>
      <c r="T71" s="85"/>
      <c r="U71" s="284"/>
      <c r="V71" s="284"/>
      <c r="W71" s="285"/>
      <c r="X71" s="297"/>
      <c r="Y71" s="284"/>
    </row>
    <row r="72" spans="19:25" x14ac:dyDescent="0.25">
      <c r="S72" s="296"/>
      <c r="T72" s="85"/>
      <c r="U72" s="284"/>
      <c r="V72" s="284"/>
      <c r="W72" s="285"/>
      <c r="X72" s="297"/>
      <c r="Y72" s="284"/>
    </row>
    <row r="73" spans="19:25" x14ac:dyDescent="0.25">
      <c r="S73" s="296"/>
      <c r="T73" s="85"/>
      <c r="U73" s="285"/>
      <c r="V73" s="285"/>
      <c r="W73" s="285"/>
      <c r="X73" s="297"/>
      <c r="Y73" s="284"/>
    </row>
    <row r="74" spans="19:25" x14ac:dyDescent="0.25">
      <c r="S74" s="48"/>
      <c r="T74" s="48"/>
      <c r="U74" s="48"/>
      <c r="V74" s="298"/>
      <c r="W74" s="298"/>
      <c r="X74" s="48"/>
      <c r="Y74" s="48"/>
    </row>
    <row r="75" spans="19:25" x14ac:dyDescent="0.25">
      <c r="S75" s="48"/>
      <c r="T75" s="48"/>
      <c r="U75" s="48"/>
      <c r="V75" s="48"/>
      <c r="W75" s="48"/>
      <c r="X75" s="48"/>
      <c r="Y75" s="48"/>
    </row>
  </sheetData>
  <mergeCells count="21">
    <mergeCell ref="AB4:AB6"/>
    <mergeCell ref="N35:N37"/>
    <mergeCell ref="O35:O37"/>
    <mergeCell ref="P35:P37"/>
    <mergeCell ref="Q35:Q37"/>
    <mergeCell ref="R35:R37"/>
    <mergeCell ref="T35:T37"/>
    <mergeCell ref="S35:S37"/>
    <mergeCell ref="T4:T6"/>
    <mergeCell ref="Z4:Z6"/>
    <mergeCell ref="N4:N6"/>
    <mergeCell ref="O4:O6"/>
    <mergeCell ref="P4:P6"/>
    <mergeCell ref="Q4:Q6"/>
    <mergeCell ref="R4:R6"/>
    <mergeCell ref="S4:S6"/>
    <mergeCell ref="AA4:AA6"/>
    <mergeCell ref="V4:V6"/>
    <mergeCell ref="W4:W6"/>
    <mergeCell ref="X4:X6"/>
    <mergeCell ref="Y4:Y6"/>
  </mergeCell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Hoja5">
    <tabColor theme="8" tint="0.59999389629810485"/>
  </sheetPr>
  <dimension ref="A1:R101"/>
  <sheetViews>
    <sheetView topLeftCell="A82" zoomScale="110" zoomScaleNormal="110" zoomScaleSheetLayoutView="100" workbookViewId="0">
      <selection activeCell="B62" sqref="B62:N62"/>
    </sheetView>
  </sheetViews>
  <sheetFormatPr baseColWidth="10" defaultRowHeight="13.2" x14ac:dyDescent="0.25"/>
  <cols>
    <col min="1" max="1" width="14.109375" bestFit="1" customWidth="1"/>
    <col min="2" max="5" width="15.6640625" customWidth="1"/>
    <col min="6" max="6" width="17.109375" customWidth="1"/>
    <col min="7" max="8" width="15.6640625" customWidth="1"/>
    <col min="9" max="9" width="16.6640625" customWidth="1"/>
    <col min="10" max="16" width="15.6640625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28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221</v>
      </c>
      <c r="B12" s="262"/>
      <c r="C12" s="262"/>
      <c r="D12" s="262"/>
      <c r="E12" s="262"/>
      <c r="F12" s="65"/>
      <c r="G12" s="66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6038.7749830000002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6038.7749830000002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2086714.472908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2086714.472908</v>
      </c>
      <c r="P14" s="43">
        <f>SUM(B14:N14)/(COUNTIF(B14:N14,"&gt;0"))</f>
        <v>2086714.472908</v>
      </c>
    </row>
    <row r="15" spans="1:16" x14ac:dyDescent="0.25">
      <c r="A15" s="3" t="s">
        <v>16</v>
      </c>
      <c r="B15" s="37" t="e">
        <f t="shared" ref="B15:H15" si="0">+((B13/B17)^2-(B13^2))^(0.5)</f>
        <v>#DIV/0!</v>
      </c>
      <c r="C15" s="37" t="e">
        <f>+((C13/C17)^2-(C13^2))^(0.5)</f>
        <v>#DIV/0!</v>
      </c>
      <c r="D15" s="37" t="e">
        <f t="shared" si="0"/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332.01380007121929</v>
      </c>
      <c r="H15" s="37" t="e">
        <f t="shared" si="0"/>
        <v>#DIV/0!</v>
      </c>
      <c r="I15" s="37" t="e">
        <f t="shared" ref="I15:N15" si="1">+((I13/I17)^2-(I13^2))^(0.5)</f>
        <v>#DIV/0!</v>
      </c>
      <c r="J15" s="37" t="e">
        <f t="shared" si="1"/>
        <v>#DIV/0!</v>
      </c>
      <c r="K15" s="37" t="e">
        <f t="shared" si="1"/>
        <v>#DIV/0!</v>
      </c>
      <c r="L15" s="37" t="e">
        <f t="shared" si="1"/>
        <v>#DIV/0!</v>
      </c>
      <c r="M15" s="37" t="e">
        <f t="shared" si="1"/>
        <v>#DIV/0!</v>
      </c>
      <c r="N15" s="37" t="e">
        <f t="shared" si="1"/>
        <v>#DIV/0!</v>
      </c>
      <c r="O15" s="37"/>
      <c r="P15" s="4">
        <f>HLOOKUP(P13,B13:N15,3,FALSE)</f>
        <v>332.01380007121929</v>
      </c>
    </row>
    <row r="16" spans="1:16" x14ac:dyDescent="0.25">
      <c r="A16" s="3" t="s">
        <v>8</v>
      </c>
      <c r="B16" s="37">
        <f t="shared" ref="B16:H16" si="2">+B14/(24*B$8)</f>
        <v>0</v>
      </c>
      <c r="C16" s="37">
        <f t="shared" si="2"/>
        <v>0</v>
      </c>
      <c r="D16" s="37">
        <f t="shared" si="2"/>
        <v>0</v>
      </c>
      <c r="E16" s="37">
        <f t="shared" si="2"/>
        <v>0</v>
      </c>
      <c r="F16" s="37">
        <f t="shared" si="2"/>
        <v>0</v>
      </c>
      <c r="G16" s="37">
        <f t="shared" si="2"/>
        <v>2804.7237539086022</v>
      </c>
      <c r="H16" s="37">
        <f t="shared" si="2"/>
        <v>0</v>
      </c>
      <c r="I16" s="37">
        <f t="shared" ref="I16:N16" si="3">+I14/(24*I$8)</f>
        <v>0</v>
      </c>
      <c r="J16" s="37">
        <f t="shared" si="3"/>
        <v>0</v>
      </c>
      <c r="K16" s="37">
        <f t="shared" si="3"/>
        <v>0</v>
      </c>
      <c r="L16" s="37">
        <f t="shared" si="3"/>
        <v>0</v>
      </c>
      <c r="M16" s="37">
        <f t="shared" si="3"/>
        <v>0</v>
      </c>
      <c r="N16" s="37">
        <f t="shared" si="3"/>
        <v>0</v>
      </c>
      <c r="O16" s="6">
        <f>SUM(O14)/(24*O$8)</f>
        <v>238.20941471552513</v>
      </c>
      <c r="P16" s="4">
        <f>O14/(COUNTIF(B14:N14,"&gt;0")*720)</f>
        <v>2898.2145457055553</v>
      </c>
    </row>
    <row r="17" spans="1:16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0.99849200000000005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0.99849200000000005</v>
      </c>
    </row>
    <row r="18" spans="1:16" x14ac:dyDescent="0.25">
      <c r="A18" s="3" t="s">
        <v>17</v>
      </c>
      <c r="B18" s="37" t="e">
        <f t="shared" ref="B18:H18" si="4">+B16/B13</f>
        <v>#DIV/0!</v>
      </c>
      <c r="C18" s="37" t="e">
        <f>+C16/C13</f>
        <v>#DIV/0!</v>
      </c>
      <c r="D18" s="37" t="e">
        <f t="shared" si="4"/>
        <v>#DIV/0!</v>
      </c>
      <c r="E18" s="37" t="e">
        <f t="shared" si="4"/>
        <v>#DIV/0!</v>
      </c>
      <c r="F18" s="37" t="e">
        <f t="shared" si="4"/>
        <v>#DIV/0!</v>
      </c>
      <c r="G18" s="37">
        <f t="shared" si="4"/>
        <v>0.46445243643028489</v>
      </c>
      <c r="H18" s="37" t="e">
        <f t="shared" si="4"/>
        <v>#DIV/0!</v>
      </c>
      <c r="I18" s="37" t="e">
        <f t="shared" ref="I18:N18" si="5">+I16/I13</f>
        <v>#DIV/0!</v>
      </c>
      <c r="J18" s="37" t="e">
        <f t="shared" si="5"/>
        <v>#DIV/0!</v>
      </c>
      <c r="K18" s="37" t="e">
        <f t="shared" si="5"/>
        <v>#DIV/0!</v>
      </c>
      <c r="L18" s="37" t="e">
        <f t="shared" si="5"/>
        <v>#DIV/0!</v>
      </c>
      <c r="M18" s="37" t="e">
        <f t="shared" si="5"/>
        <v>#DIV/0!</v>
      </c>
      <c r="N18" s="37" t="e">
        <f t="shared" si="5"/>
        <v>#DIV/0!</v>
      </c>
      <c r="O18" s="6"/>
      <c r="P18" s="4">
        <f>+P16/P13</f>
        <v>0.47993418431129431</v>
      </c>
    </row>
    <row r="19" spans="1:16" s="24" customFormat="1" x14ac:dyDescent="0.25">
      <c r="A19" s="271" t="s">
        <v>222</v>
      </c>
      <c r="B19" s="65"/>
      <c r="C19" s="65"/>
      <c r="D19" s="65"/>
      <c r="E19" s="65"/>
      <c r="F19" s="65"/>
      <c r="G19" s="66"/>
      <c r="H19" s="66"/>
      <c r="I19" s="66"/>
      <c r="J19" s="66"/>
      <c r="K19" s="50"/>
      <c r="L19" s="50"/>
      <c r="M19" s="50"/>
      <c r="N19" s="50"/>
      <c r="O19" s="50"/>
      <c r="P19" s="50"/>
    </row>
    <row r="20" spans="1:16" x14ac:dyDescent="0.25">
      <c r="A20" s="3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-1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0</v>
      </c>
    </row>
    <row r="21" spans="1:16" x14ac:dyDescent="0.25">
      <c r="A21" s="3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-1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-1</v>
      </c>
      <c r="P21" s="43" t="e">
        <f>SUM(B21:N21)/(COUNTIF(B21:N21,"&gt;0"))</f>
        <v>#DIV/0!</v>
      </c>
    </row>
    <row r="22" spans="1:16" x14ac:dyDescent="0.25">
      <c r="A22" s="3" t="s">
        <v>16</v>
      </c>
      <c r="B22" s="37" t="e">
        <f t="shared" ref="B22:H22" si="6">+((B20/B24)^2-(B20^2))^(0.5)</f>
        <v>#DIV/0!</v>
      </c>
      <c r="C22" s="37" t="e">
        <f>+((C20/C24)^2-(C20^2))^(0.5)</f>
        <v>#DIV/0!</v>
      </c>
      <c r="D22" s="37" t="e">
        <f t="shared" si="6"/>
        <v>#DIV/0!</v>
      </c>
      <c r="E22" s="37" t="e">
        <f t="shared" si="6"/>
        <v>#DIV/0!</v>
      </c>
      <c r="F22" s="37" t="e">
        <f t="shared" si="6"/>
        <v>#DIV/0!</v>
      </c>
      <c r="G22" s="37">
        <f t="shared" si="6"/>
        <v>0</v>
      </c>
      <c r="H22" s="37" t="e">
        <f t="shared" si="6"/>
        <v>#DIV/0!</v>
      </c>
      <c r="I22" s="37" t="e">
        <f t="shared" ref="I22:N22" si="7">+((I20/I24)^2-(I20^2))^(0.5)</f>
        <v>#DIV/0!</v>
      </c>
      <c r="J22" s="37" t="e">
        <f t="shared" si="7"/>
        <v>#DIV/0!</v>
      </c>
      <c r="K22" s="37" t="e">
        <f t="shared" si="7"/>
        <v>#DIV/0!</v>
      </c>
      <c r="L22" s="37" t="e">
        <f t="shared" si="7"/>
        <v>#DIV/0!</v>
      </c>
      <c r="M22" s="37" t="e">
        <f t="shared" si="7"/>
        <v>#DIV/0!</v>
      </c>
      <c r="N22" s="37" t="e">
        <f t="shared" si="7"/>
        <v>#DIV/0!</v>
      </c>
      <c r="O22" s="37"/>
      <c r="P22" s="4" t="e">
        <f>HLOOKUP(P20,B20:N22,3,FALSE)</f>
        <v>#DIV/0!</v>
      </c>
    </row>
    <row r="23" spans="1:16" x14ac:dyDescent="0.25">
      <c r="A23" s="3" t="s">
        <v>8</v>
      </c>
      <c r="B23" s="37">
        <f t="shared" ref="B23:H23" si="8">+B21/(24*B$8)</f>
        <v>0</v>
      </c>
      <c r="C23" s="37">
        <f>+C21/(24*C$8)</f>
        <v>0</v>
      </c>
      <c r="D23" s="37">
        <f t="shared" si="8"/>
        <v>0</v>
      </c>
      <c r="E23" s="37">
        <f t="shared" si="8"/>
        <v>0</v>
      </c>
      <c r="F23" s="37">
        <f t="shared" si="8"/>
        <v>0</v>
      </c>
      <c r="G23" s="37">
        <f t="shared" si="8"/>
        <v>-1.3440860215053765E-3</v>
      </c>
      <c r="H23" s="37">
        <f t="shared" si="8"/>
        <v>0</v>
      </c>
      <c r="I23" s="37">
        <f t="shared" ref="I23:N23" si="9">+I21/(24*I$8)</f>
        <v>0</v>
      </c>
      <c r="J23" s="37">
        <f t="shared" si="9"/>
        <v>0</v>
      </c>
      <c r="K23" s="37">
        <f t="shared" si="9"/>
        <v>0</v>
      </c>
      <c r="L23" s="37">
        <f t="shared" si="9"/>
        <v>0</v>
      </c>
      <c r="M23" s="37">
        <f t="shared" si="9"/>
        <v>0</v>
      </c>
      <c r="N23" s="37">
        <f t="shared" si="9"/>
        <v>0</v>
      </c>
      <c r="O23" s="6">
        <f>SUM(O21)/(24*O$8)</f>
        <v>-1.1415525114155251E-4</v>
      </c>
      <c r="P23" s="4" t="e">
        <f>O21/(COUNTIF(B21:N21,"&gt;0")*720)</f>
        <v>#DIV/0!</v>
      </c>
    </row>
    <row r="24" spans="1:16" x14ac:dyDescent="0.25">
      <c r="A24" s="3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-1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 t="e">
        <f>COS(ATAN(P22/P20))</f>
        <v>#DIV/0!</v>
      </c>
    </row>
    <row r="25" spans="1:16" x14ac:dyDescent="0.25">
      <c r="A25" s="3" t="s">
        <v>17</v>
      </c>
      <c r="B25" s="37" t="e">
        <f t="shared" ref="B25:H25" si="10">+B23/B20</f>
        <v>#DIV/0!</v>
      </c>
      <c r="C25" s="37" t="e">
        <f>+C23/C20</f>
        <v>#DIV/0!</v>
      </c>
      <c r="D25" s="37" t="e">
        <f t="shared" si="10"/>
        <v>#DIV/0!</v>
      </c>
      <c r="E25" s="37" t="e">
        <f t="shared" si="10"/>
        <v>#DIV/0!</v>
      </c>
      <c r="F25" s="37" t="e">
        <f t="shared" si="10"/>
        <v>#DIV/0!</v>
      </c>
      <c r="G25" s="37">
        <f t="shared" si="10"/>
        <v>1.3440860215053765E-3</v>
      </c>
      <c r="H25" s="37" t="e">
        <f t="shared" si="10"/>
        <v>#DIV/0!</v>
      </c>
      <c r="I25" s="37" t="e">
        <f t="shared" ref="I25:N25" si="11">+I23/I20</f>
        <v>#DIV/0!</v>
      </c>
      <c r="J25" s="37" t="e">
        <f t="shared" si="11"/>
        <v>#DIV/0!</v>
      </c>
      <c r="K25" s="37" t="e">
        <f t="shared" si="11"/>
        <v>#DIV/0!</v>
      </c>
      <c r="L25" s="37" t="e">
        <f t="shared" si="11"/>
        <v>#DIV/0!</v>
      </c>
      <c r="M25" s="37" t="e">
        <f t="shared" si="11"/>
        <v>#DIV/0!</v>
      </c>
      <c r="N25" s="37" t="e">
        <f t="shared" si="11"/>
        <v>#DIV/0!</v>
      </c>
      <c r="O25" s="6"/>
      <c r="P25" s="4" t="e">
        <f>+P23/P20</f>
        <v>#DIV/0!</v>
      </c>
    </row>
    <row r="26" spans="1:16" s="24" customFormat="1" x14ac:dyDescent="0.25">
      <c r="A26" s="271" t="s">
        <v>223</v>
      </c>
      <c r="B26" s="65"/>
      <c r="C26" s="65"/>
      <c r="D26" s="65"/>
      <c r="E26" s="65"/>
      <c r="F26" s="65"/>
      <c r="G26" s="66"/>
      <c r="H26" s="66"/>
      <c r="I26" s="66"/>
      <c r="J26" s="66"/>
      <c r="K26" s="50"/>
      <c r="L26" s="50"/>
      <c r="M26" s="50"/>
      <c r="N26" s="50"/>
      <c r="O26" s="50"/>
      <c r="P26" s="50"/>
    </row>
    <row r="27" spans="1:16" x14ac:dyDescent="0.25">
      <c r="A27" s="3" t="s">
        <v>6</v>
      </c>
      <c r="B27" s="381">
        <f>VLOOKUP($A$26,TABLA_1[],5,FALSE)</f>
        <v>0</v>
      </c>
      <c r="C27" s="381">
        <f>VLOOKUP($A$26,TABLA_2[],5,FALSE)</f>
        <v>0</v>
      </c>
      <c r="D27" s="381">
        <f>VLOOKUP($A$26,TABLA_3[],5,FALSE)</f>
        <v>0</v>
      </c>
      <c r="E27" s="381">
        <f>VLOOKUP($A$26,TABLA_4[],5,FALSE)</f>
        <v>0</v>
      </c>
      <c r="F27" s="381">
        <f>VLOOKUP($A$26,TABLA_5[],5,FALSE)</f>
        <v>0</v>
      </c>
      <c r="G27" s="381">
        <f>VLOOKUP($A$26,TABLA_6[],5,FALSE)</f>
        <v>-1</v>
      </c>
      <c r="H27" s="381">
        <f>VLOOKUP($A$26,TABLA_7[],5,FALSE)</f>
        <v>0</v>
      </c>
      <c r="I27" s="381">
        <f>VLOOKUP($A$26,TABLA_8[],5,FALSE)</f>
        <v>0</v>
      </c>
      <c r="J27" s="381">
        <f>VLOOKUP($A$26,TABLA_9[],5,FALSE)</f>
        <v>0</v>
      </c>
      <c r="K27" s="381">
        <f>VLOOKUP($A$26,TABLA_10[],5,FALSE)</f>
        <v>0</v>
      </c>
      <c r="L27" s="381">
        <f>VLOOKUP($A$26,TABLA_11[],5,FALSE)</f>
        <v>0</v>
      </c>
      <c r="M27" s="381">
        <f>VLOOKUP($A$26,TABLA_12[],5,FALSE)</f>
        <v>0</v>
      </c>
      <c r="N27" s="381">
        <f>VLOOKUP($A$26,TABLA_13[],5,FALSE)</f>
        <v>0</v>
      </c>
      <c r="O27" s="6"/>
      <c r="P27" s="43">
        <f>MAX(B27:N27)</f>
        <v>0</v>
      </c>
    </row>
    <row r="28" spans="1:16" x14ac:dyDescent="0.25">
      <c r="A28" s="3" t="s">
        <v>7</v>
      </c>
      <c r="B28" s="382">
        <f>VLOOKUP($A$26,TABLA_1[],8,FALSE)</f>
        <v>0</v>
      </c>
      <c r="C28" s="382">
        <f>VLOOKUP($A$26,TABLA_2[],8,FALSE)</f>
        <v>0</v>
      </c>
      <c r="D28" s="382">
        <f>VLOOKUP($A$26,TABLA_3[],8,FALSE)</f>
        <v>0</v>
      </c>
      <c r="E28" s="382">
        <f>VLOOKUP($A$26,TABLA_4[],8,FALSE)</f>
        <v>0</v>
      </c>
      <c r="F28" s="382">
        <f>VLOOKUP($A$26,TABLA_5[],8,FALSE)</f>
        <v>0</v>
      </c>
      <c r="G28" s="382">
        <f>VLOOKUP($A$26,TABLA_6[],8,FALSE)</f>
        <v>-1</v>
      </c>
      <c r="H28" s="382">
        <f>VLOOKUP($A$26,TABLA_7[],8,FALSE)</f>
        <v>0</v>
      </c>
      <c r="I28" s="382">
        <f>VLOOKUP($A$26,TABLA_8[],8,FALSE)</f>
        <v>0</v>
      </c>
      <c r="J28" s="382">
        <f>VLOOKUP($A$26,TABLA_9[],8,FALSE)</f>
        <v>0</v>
      </c>
      <c r="K28" s="382">
        <f>VLOOKUP($A$26,TABLA_10[],8,FALSE)</f>
        <v>0</v>
      </c>
      <c r="L28" s="382">
        <f>VLOOKUP($A$26,TABLA_11[],8,FALSE)</f>
        <v>0</v>
      </c>
      <c r="M28" s="382">
        <f>VLOOKUP($A$26,TABLA_12[],8,FALSE)</f>
        <v>0</v>
      </c>
      <c r="N28" s="382">
        <f>VLOOKUP($A$26,TABLA_13[],8,FALSE)</f>
        <v>0</v>
      </c>
      <c r="O28" s="47">
        <f>SUM(B28:N28)</f>
        <v>-1</v>
      </c>
      <c r="P28" s="43" t="e">
        <f>SUM(B28:N28)/(COUNTIF(B28:N28,"&gt;0"))</f>
        <v>#DIV/0!</v>
      </c>
    </row>
    <row r="29" spans="1:16" x14ac:dyDescent="0.25">
      <c r="A29" s="3" t="s">
        <v>16</v>
      </c>
      <c r="B29" s="37" t="e">
        <f t="shared" ref="B29:H29" si="12">+((B27/B31)^2-(B27^2))^(0.5)</f>
        <v>#DIV/0!</v>
      </c>
      <c r="C29" s="37" t="e">
        <f>+((C27/C31)^2-(C27^2))^(0.5)</f>
        <v>#DIV/0!</v>
      </c>
      <c r="D29" s="37" t="e">
        <f t="shared" si="12"/>
        <v>#DIV/0!</v>
      </c>
      <c r="E29" s="37" t="e">
        <f t="shared" si="12"/>
        <v>#DIV/0!</v>
      </c>
      <c r="F29" s="37" t="e">
        <f t="shared" si="12"/>
        <v>#DIV/0!</v>
      </c>
      <c r="G29" s="37">
        <f t="shared" si="12"/>
        <v>0</v>
      </c>
      <c r="H29" s="37" t="e">
        <f t="shared" si="12"/>
        <v>#DIV/0!</v>
      </c>
      <c r="I29" s="37" t="e">
        <f t="shared" ref="I29:N29" si="13">+((I27/I31)^2-(I27^2))^(0.5)</f>
        <v>#DIV/0!</v>
      </c>
      <c r="J29" s="37" t="e">
        <f t="shared" si="13"/>
        <v>#DIV/0!</v>
      </c>
      <c r="K29" s="37" t="e">
        <f t="shared" si="13"/>
        <v>#DIV/0!</v>
      </c>
      <c r="L29" s="37" t="e">
        <f t="shared" si="13"/>
        <v>#DIV/0!</v>
      </c>
      <c r="M29" s="37">
        <f t="shared" si="13"/>
        <v>0</v>
      </c>
      <c r="N29" s="37">
        <f t="shared" si="13"/>
        <v>0</v>
      </c>
      <c r="O29" s="37"/>
      <c r="P29" s="4" t="e">
        <f>HLOOKUP(P27,B27:N29,3,FALSE)</f>
        <v>#DIV/0!</v>
      </c>
    </row>
    <row r="30" spans="1:16" x14ac:dyDescent="0.25">
      <c r="A30" s="3" t="s">
        <v>8</v>
      </c>
      <c r="B30" s="37">
        <f t="shared" ref="B30:H30" si="14">+B28/(24*B$8)</f>
        <v>0</v>
      </c>
      <c r="C30" s="37">
        <f>+C28/(24*C$8)</f>
        <v>0</v>
      </c>
      <c r="D30" s="37">
        <f t="shared" si="14"/>
        <v>0</v>
      </c>
      <c r="E30" s="37">
        <f t="shared" si="14"/>
        <v>0</v>
      </c>
      <c r="F30" s="37">
        <f t="shared" si="14"/>
        <v>0</v>
      </c>
      <c r="G30" s="37">
        <f t="shared" si="14"/>
        <v>-1.3440860215053765E-3</v>
      </c>
      <c r="H30" s="37">
        <f t="shared" si="14"/>
        <v>0</v>
      </c>
      <c r="I30" s="37">
        <f t="shared" ref="I30:N30" si="15">+I28/(24*I$8)</f>
        <v>0</v>
      </c>
      <c r="J30" s="37">
        <f t="shared" si="15"/>
        <v>0</v>
      </c>
      <c r="K30" s="37">
        <f t="shared" si="15"/>
        <v>0</v>
      </c>
      <c r="L30" s="37">
        <f t="shared" si="15"/>
        <v>0</v>
      </c>
      <c r="M30" s="37">
        <f t="shared" si="15"/>
        <v>0</v>
      </c>
      <c r="N30" s="37">
        <f t="shared" si="15"/>
        <v>0</v>
      </c>
      <c r="O30" s="6">
        <f>SUM(O28)/(24*O$8)</f>
        <v>-1.1415525114155251E-4</v>
      </c>
      <c r="P30" s="4" t="e">
        <f>O28/(COUNTIF(B28:N28,"&gt;0")*720)</f>
        <v>#DIV/0!</v>
      </c>
    </row>
    <row r="31" spans="1:16" x14ac:dyDescent="0.25">
      <c r="A31" s="3" t="s">
        <v>9</v>
      </c>
      <c r="B31" s="383">
        <f>VLOOKUP($A$26,TABLA_1[],10,FALSE)</f>
        <v>0</v>
      </c>
      <c r="C31" s="383">
        <f>VLOOKUP($A$26,TABLA_2[],10,FALSE)</f>
        <v>0</v>
      </c>
      <c r="D31" s="383">
        <f>VLOOKUP($A$26,TABLA_3[],10,FALSE)</f>
        <v>0</v>
      </c>
      <c r="E31" s="383">
        <f>VLOOKUP($A$26,TABLA_4[],10,FALSE)</f>
        <v>0</v>
      </c>
      <c r="F31" s="383">
        <f>VLOOKUP($A$26,TABLA_5[],10,FALSE)</f>
        <v>0</v>
      </c>
      <c r="G31" s="383">
        <f>VLOOKUP($A$26,TABLA_6[],10,FALSE)</f>
        <v>-1</v>
      </c>
      <c r="H31" s="383">
        <f>VLOOKUP($A$26,TABLA_7[],10,FALSE)</f>
        <v>0</v>
      </c>
      <c r="I31" s="383">
        <f>VLOOKUP($A$26,TABLA_8[],10,FALSE)</f>
        <v>0</v>
      </c>
      <c r="J31" s="383">
        <f>VLOOKUP($A$26,TABLA_9[],10,FALSE)</f>
        <v>0</v>
      </c>
      <c r="K31" s="383">
        <f>VLOOKUP($A$26,TABLA_10[],10,FALSE)</f>
        <v>0</v>
      </c>
      <c r="L31" s="383">
        <f>VLOOKUP($A$26,TABLA_11[],10,FALSE)</f>
        <v>0</v>
      </c>
      <c r="M31" s="383">
        <f>VLOOKUP($A$26,TABLA_6[],10,FALSE)</f>
        <v>-1</v>
      </c>
      <c r="N31" s="383">
        <f>VLOOKUP($A$26,TABLA_6[],10,FALSE)</f>
        <v>-1</v>
      </c>
      <c r="O31" s="6"/>
      <c r="P31" s="4" t="e">
        <f>COS(ATAN(P29/P27))</f>
        <v>#DIV/0!</v>
      </c>
    </row>
    <row r="32" spans="1:16" x14ac:dyDescent="0.25">
      <c r="A32" s="3" t="s">
        <v>17</v>
      </c>
      <c r="B32" s="37" t="e">
        <f t="shared" ref="B32:H32" si="16">+B30/B27</f>
        <v>#DIV/0!</v>
      </c>
      <c r="C32" s="37" t="e">
        <f>+C30/C27</f>
        <v>#DIV/0!</v>
      </c>
      <c r="D32" s="37" t="e">
        <f t="shared" si="16"/>
        <v>#DIV/0!</v>
      </c>
      <c r="E32" s="37" t="e">
        <f t="shared" si="16"/>
        <v>#DIV/0!</v>
      </c>
      <c r="F32" s="37" t="e">
        <f t="shared" si="16"/>
        <v>#DIV/0!</v>
      </c>
      <c r="G32" s="37">
        <f t="shared" si="16"/>
        <v>1.3440860215053765E-3</v>
      </c>
      <c r="H32" s="37" t="e">
        <f t="shared" si="16"/>
        <v>#DIV/0!</v>
      </c>
      <c r="I32" s="37" t="e">
        <f t="shared" ref="I32:N32" si="17">+I30/I27</f>
        <v>#DIV/0!</v>
      </c>
      <c r="J32" s="37" t="e">
        <f t="shared" si="17"/>
        <v>#DIV/0!</v>
      </c>
      <c r="K32" s="37" t="e">
        <f t="shared" si="17"/>
        <v>#DIV/0!</v>
      </c>
      <c r="L32" s="37" t="e">
        <f t="shared" si="17"/>
        <v>#DIV/0!</v>
      </c>
      <c r="M32" s="37" t="e">
        <f t="shared" si="17"/>
        <v>#DIV/0!</v>
      </c>
      <c r="N32" s="37" t="e">
        <f t="shared" si="17"/>
        <v>#DIV/0!</v>
      </c>
      <c r="O32" s="6"/>
      <c r="P32" s="4" t="e">
        <f>+P30/P27</f>
        <v>#DIV/0!</v>
      </c>
    </row>
    <row r="33" spans="1:18" x14ac:dyDescent="0.25">
      <c r="A33" s="30"/>
      <c r="B33" s="174"/>
      <c r="C33" s="174"/>
      <c r="D33" s="174"/>
      <c r="E33" s="174"/>
      <c r="F33" s="174"/>
      <c r="G33" s="51"/>
      <c r="H33" s="51"/>
      <c r="I33" s="51"/>
      <c r="J33" s="51"/>
      <c r="K33" s="51"/>
      <c r="L33" s="51"/>
      <c r="M33" s="51"/>
      <c r="N33" s="51"/>
      <c r="O33" s="51"/>
      <c r="P33" s="30"/>
    </row>
    <row r="34" spans="1:18" x14ac:dyDescent="0.25">
      <c r="A34" s="31"/>
      <c r="B34" s="175"/>
      <c r="C34" s="175"/>
      <c r="D34" s="175"/>
      <c r="E34" s="175"/>
      <c r="F34" s="175"/>
      <c r="G34" s="52"/>
      <c r="H34" s="52"/>
      <c r="I34" s="52"/>
      <c r="J34" s="52"/>
      <c r="K34" s="52"/>
      <c r="L34" s="52"/>
      <c r="M34" s="52"/>
      <c r="N34" s="52"/>
      <c r="O34" s="52"/>
      <c r="P34" s="31"/>
    </row>
    <row r="35" spans="1:18" x14ac:dyDescent="0.25">
      <c r="A35" s="7" t="s">
        <v>10</v>
      </c>
      <c r="B35" s="72"/>
      <c r="C35" s="72"/>
      <c r="D35" s="72"/>
      <c r="E35" s="72"/>
      <c r="F35" s="72"/>
      <c r="G35" s="73"/>
      <c r="H35" s="73"/>
      <c r="I35" s="73"/>
      <c r="J35" s="73"/>
      <c r="K35" s="73"/>
      <c r="L35" s="53"/>
      <c r="M35" s="53"/>
      <c r="N35" s="53"/>
      <c r="O35" s="53"/>
      <c r="P35" s="8"/>
    </row>
    <row r="36" spans="1:18" x14ac:dyDescent="0.25">
      <c r="A36" s="9" t="s">
        <v>11</v>
      </c>
      <c r="B36" s="62">
        <f>+B13+B20+B27</f>
        <v>0</v>
      </c>
      <c r="C36" s="62">
        <f>+C13+C20+C27</f>
        <v>0</v>
      </c>
      <c r="D36" s="62">
        <f t="shared" ref="D36:N36" si="18">+D13+D20+D27</f>
        <v>0</v>
      </c>
      <c r="E36" s="62">
        <f t="shared" si="18"/>
        <v>0</v>
      </c>
      <c r="F36" s="62">
        <f t="shared" si="18"/>
        <v>0</v>
      </c>
      <c r="G36" s="62">
        <f t="shared" si="18"/>
        <v>6036.7749830000002</v>
      </c>
      <c r="H36" s="62">
        <f t="shared" si="18"/>
        <v>0</v>
      </c>
      <c r="I36" s="62">
        <f t="shared" si="18"/>
        <v>0</v>
      </c>
      <c r="J36" s="62">
        <f t="shared" si="18"/>
        <v>0</v>
      </c>
      <c r="K36" s="62">
        <f t="shared" si="18"/>
        <v>0</v>
      </c>
      <c r="L36" s="62">
        <f t="shared" si="18"/>
        <v>0</v>
      </c>
      <c r="M36" s="62">
        <f t="shared" si="18"/>
        <v>0</v>
      </c>
      <c r="N36" s="62">
        <f t="shared" si="18"/>
        <v>0</v>
      </c>
      <c r="O36" s="54"/>
      <c r="P36" s="42">
        <f>MAX(B36:N36)</f>
        <v>6036.7749830000002</v>
      </c>
    </row>
    <row r="37" spans="1:18" x14ac:dyDescent="0.25">
      <c r="A37" s="9" t="s">
        <v>7</v>
      </c>
      <c r="B37" s="62">
        <f>+B14+B21+B28</f>
        <v>0</v>
      </c>
      <c r="C37" s="62">
        <f>+C14+C21+C28</f>
        <v>0</v>
      </c>
      <c r="D37" s="62">
        <f t="shared" ref="D37:N37" si="19">+D14+D21+D28</f>
        <v>0</v>
      </c>
      <c r="E37" s="62">
        <f t="shared" si="19"/>
        <v>0</v>
      </c>
      <c r="F37" s="62">
        <f t="shared" si="19"/>
        <v>0</v>
      </c>
      <c r="G37" s="62">
        <f t="shared" si="19"/>
        <v>2086712.472908</v>
      </c>
      <c r="H37" s="62">
        <f t="shared" si="19"/>
        <v>0</v>
      </c>
      <c r="I37" s="62">
        <f t="shared" si="19"/>
        <v>0</v>
      </c>
      <c r="J37" s="62">
        <f t="shared" si="19"/>
        <v>0</v>
      </c>
      <c r="K37" s="62">
        <f t="shared" si="19"/>
        <v>0</v>
      </c>
      <c r="L37" s="62">
        <f t="shared" si="19"/>
        <v>0</v>
      </c>
      <c r="M37" s="62">
        <f t="shared" si="19"/>
        <v>0</v>
      </c>
      <c r="N37" s="62">
        <f t="shared" si="19"/>
        <v>0</v>
      </c>
      <c r="O37" s="62">
        <f>SUM(B37:N37)</f>
        <v>2086712.472908</v>
      </c>
      <c r="P37" s="42"/>
    </row>
    <row r="38" spans="1:18" s="24" customFormat="1" x14ac:dyDescent="0.25">
      <c r="A38" s="272" t="s">
        <v>12</v>
      </c>
      <c r="B38" s="376" t="s">
        <v>478</v>
      </c>
      <c r="C38" s="246"/>
      <c r="D38" s="246"/>
      <c r="E38" s="246"/>
      <c r="F38" s="246"/>
      <c r="G38" s="247"/>
      <c r="H38" s="247"/>
      <c r="I38" s="247"/>
      <c r="J38" s="247"/>
      <c r="K38" s="36"/>
      <c r="L38" s="36"/>
      <c r="M38" s="36"/>
      <c r="N38" s="36"/>
      <c r="O38" s="47"/>
      <c r="P38" s="47"/>
    </row>
    <row r="39" spans="1:18" x14ac:dyDescent="0.25">
      <c r="A39" s="3" t="s">
        <v>6</v>
      </c>
      <c r="B39" s="380">
        <f>VLOOKUP($B$38,BancoTabla_1[],5,FALSE)</f>
        <v>0</v>
      </c>
      <c r="C39" s="380">
        <f>VLOOKUP($B$38,BancoTabla_2[],5,FALSE)</f>
        <v>0</v>
      </c>
      <c r="D39" s="380">
        <f>VLOOKUP($B$38,BancoTabla_3[],5,FALSE)</f>
        <v>0</v>
      </c>
      <c r="E39" s="380">
        <f>VLOOKUP($B$38,BancoTabla_4[],5,FALSE)</f>
        <v>0</v>
      </c>
      <c r="F39" s="380">
        <f>VLOOKUP($B$38,BancoTabla_5[],5,FALSE)</f>
        <v>0</v>
      </c>
      <c r="G39" s="380">
        <f>VLOOKUP($B$38,BancoTabla_6[],5,FALSE)</f>
        <v>7920.9982909999999</v>
      </c>
      <c r="H39" s="380">
        <f>VLOOKUP($B$38,BancoTabla_7[],5,FALSE)</f>
        <v>0</v>
      </c>
      <c r="I39" s="380">
        <f>VLOOKUP($B$38,BancoTabla_8[],5,FALSE)</f>
        <v>0</v>
      </c>
      <c r="J39" s="380">
        <f>VLOOKUP($B$38,BancoTabla_9[],5,FALSE)</f>
        <v>0</v>
      </c>
      <c r="K39" s="380">
        <f>VLOOKUP($B$38,BancoTabla_10[],5,FALSE)</f>
        <v>0</v>
      </c>
      <c r="L39" s="380">
        <f>VLOOKUP($B$38,BancoTabla_11[],5,FALSE)</f>
        <v>0</v>
      </c>
      <c r="M39" s="380">
        <f>VLOOKUP($B$38,BancoTabla_12[],5,FALSE)</f>
        <v>0</v>
      </c>
      <c r="N39" s="380">
        <f>VLOOKUP($B$38,BancoTabla_13[],5,FALSE)</f>
        <v>0</v>
      </c>
      <c r="O39" s="79"/>
      <c r="P39" s="43">
        <f>MAX(B39:N39)</f>
        <v>7920.9982909999999</v>
      </c>
      <c r="Q39" s="334">
        <f>P39/1000</f>
        <v>7.9209982910000001</v>
      </c>
    </row>
    <row r="40" spans="1:18" x14ac:dyDescent="0.25">
      <c r="A40" s="3" t="s">
        <v>7</v>
      </c>
      <c r="B40" s="380">
        <f>VLOOKUP($B$38,BancoTabla_1[],8,FALSE)</f>
        <v>0</v>
      </c>
      <c r="C40" s="380">
        <f>VLOOKUP($B$38,BancoTabla_2[],8,FALSE)</f>
        <v>0</v>
      </c>
      <c r="D40" s="380">
        <f>VLOOKUP($B$38,BancoTabla_3[],8,FALSE)</f>
        <v>0</v>
      </c>
      <c r="E40" s="380">
        <f>VLOOKUP($B$38,BancoTabla_4[],8,FALSE)</f>
        <v>0</v>
      </c>
      <c r="F40" s="380">
        <f>VLOOKUP($B$38,BancoTabla_5[],8,FALSE)</f>
        <v>0</v>
      </c>
      <c r="G40" s="380">
        <f>VLOOKUP($B$38,BancoTabla_6[],8,FALSE)</f>
        <v>3191647.3268769998</v>
      </c>
      <c r="H40" s="380">
        <f>VLOOKUP($B$38,BancoTabla_7[],8,FALSE)</f>
        <v>0</v>
      </c>
      <c r="I40" s="380">
        <f>VLOOKUP($B$38,BancoTabla_8[],8,FALSE)</f>
        <v>0</v>
      </c>
      <c r="J40" s="380">
        <f>VLOOKUP($B$38,BancoTabla_9[],8,FALSE)</f>
        <v>0</v>
      </c>
      <c r="K40" s="380">
        <f>VLOOKUP($B$38,BancoTabla_10[],8,FALSE)</f>
        <v>0</v>
      </c>
      <c r="L40" s="380">
        <f>VLOOKUP($B$38,BancoTabla_11[],8,FALSE)</f>
        <v>0</v>
      </c>
      <c r="M40" s="380">
        <f>VLOOKUP($B$38,BancoTabla_12[],8,FALSE)</f>
        <v>0</v>
      </c>
      <c r="N40" s="380">
        <f>VLOOKUP($B$38,BancoTabla_13[],8,FALSE)</f>
        <v>0</v>
      </c>
      <c r="O40" s="47">
        <f>SUM(B40:N40)</f>
        <v>3191647.3268769998</v>
      </c>
      <c r="P40" s="4">
        <f>SUM(B40:N40)/(COUNTIF(B40:N40,"&gt;0"))</f>
        <v>3191647.3268769998</v>
      </c>
      <c r="R40" s="39"/>
    </row>
    <row r="41" spans="1:18" x14ac:dyDescent="0.25">
      <c r="A41" s="3" t="s">
        <v>16</v>
      </c>
      <c r="B41" s="37" t="e">
        <f t="shared" ref="B41:H41" si="20">+((B39/B43)^2-(B39^2))^(0.5)</f>
        <v>#DIV/0!</v>
      </c>
      <c r="C41" s="37" t="e">
        <f>+((C39/C43)^2-(C39^2))^(0.5)</f>
        <v>#DIV/0!</v>
      </c>
      <c r="D41" s="37" t="e">
        <f t="shared" si="20"/>
        <v>#DIV/0!</v>
      </c>
      <c r="E41" s="37" t="e">
        <f t="shared" si="20"/>
        <v>#DIV/0!</v>
      </c>
      <c r="F41" s="37" t="e">
        <f t="shared" si="20"/>
        <v>#DIV/0!</v>
      </c>
      <c r="G41" s="37">
        <f t="shared" si="20"/>
        <v>777.59438336137066</v>
      </c>
      <c r="H41" s="37" t="e">
        <f t="shared" si="20"/>
        <v>#DIV/0!</v>
      </c>
      <c r="I41" s="37" t="e">
        <f t="shared" ref="I41:N41" si="21">+((I39/I43)^2-(I39^2))^(0.5)</f>
        <v>#DIV/0!</v>
      </c>
      <c r="J41" s="37" t="e">
        <f t="shared" si="21"/>
        <v>#DIV/0!</v>
      </c>
      <c r="K41" s="37" t="e">
        <f t="shared" si="21"/>
        <v>#DIV/0!</v>
      </c>
      <c r="L41" s="37" t="e">
        <f t="shared" si="21"/>
        <v>#DIV/0!</v>
      </c>
      <c r="M41" s="37" t="e">
        <f t="shared" si="21"/>
        <v>#DIV/0!</v>
      </c>
      <c r="N41" s="37" t="e">
        <f t="shared" si="21"/>
        <v>#DIV/0!</v>
      </c>
      <c r="O41" s="37"/>
      <c r="P41" s="4">
        <f>HLOOKUP(P39,B39:N41,3,FALSE)</f>
        <v>777.59438336137066</v>
      </c>
    </row>
    <row r="42" spans="1:18" x14ac:dyDescent="0.25">
      <c r="A42" s="3" t="s">
        <v>8</v>
      </c>
      <c r="B42" s="37">
        <f t="shared" ref="B42:H42" si="22">+B40/(24*B$8)</f>
        <v>0</v>
      </c>
      <c r="C42" s="37">
        <f>+C40/(24*C$8)</f>
        <v>0</v>
      </c>
      <c r="D42" s="37">
        <f t="shared" si="22"/>
        <v>0</v>
      </c>
      <c r="E42" s="37">
        <f t="shared" si="22"/>
        <v>0</v>
      </c>
      <c r="F42" s="37">
        <f t="shared" si="22"/>
        <v>0</v>
      </c>
      <c r="G42" s="37">
        <f t="shared" si="22"/>
        <v>4289.8485576303765</v>
      </c>
      <c r="H42" s="37">
        <f t="shared" si="22"/>
        <v>0</v>
      </c>
      <c r="I42" s="37">
        <f t="shared" ref="I42:N42" si="23">+I40/(24*I$8)</f>
        <v>0</v>
      </c>
      <c r="J42" s="37">
        <f t="shared" si="23"/>
        <v>0</v>
      </c>
      <c r="K42" s="37">
        <f t="shared" si="23"/>
        <v>0</v>
      </c>
      <c r="L42" s="37">
        <f t="shared" si="23"/>
        <v>0</v>
      </c>
      <c r="M42" s="37">
        <f t="shared" si="23"/>
        <v>0</v>
      </c>
      <c r="N42" s="37">
        <f t="shared" si="23"/>
        <v>0</v>
      </c>
      <c r="O42" s="6">
        <f>SUM(O40)/(24*O$8)</f>
        <v>364.34330215490866</v>
      </c>
      <c r="P42" s="4">
        <f>O40/(COUNTIF(B40:N40,"&gt;0")*720)</f>
        <v>4432.8435095513887</v>
      </c>
    </row>
    <row r="43" spans="1:18" x14ac:dyDescent="0.25">
      <c r="A43" s="3" t="s">
        <v>9</v>
      </c>
      <c r="B43" s="380">
        <f>VLOOKUP($B$38,BancoTabla_1[],10,FALSE)</f>
        <v>0</v>
      </c>
      <c r="C43" s="380">
        <f>VLOOKUP($B$38,BancoTabla_2[],10,FALSE)</f>
        <v>0</v>
      </c>
      <c r="D43" s="380">
        <f>VLOOKUP($B$38,BancoTabla_3[],10,FALSE)</f>
        <v>0</v>
      </c>
      <c r="E43" s="380">
        <f>VLOOKUP($B$38,BancoTabla_4[],10,FALSE)</f>
        <v>0</v>
      </c>
      <c r="F43" s="380">
        <f>VLOOKUP($B$38,BancoTabla_5[],10,FALSE)</f>
        <v>0</v>
      </c>
      <c r="G43" s="380">
        <f>VLOOKUP($B$38,BancoTabla_6[],10,FALSE)</f>
        <v>0.99521599999999999</v>
      </c>
      <c r="H43" s="380">
        <f>VLOOKUP($B$38,BancoTabla_7[],10,FALSE)</f>
        <v>0</v>
      </c>
      <c r="I43" s="380">
        <f>VLOOKUP($B$38,BancoTabla_8[],10,FALSE)</f>
        <v>0</v>
      </c>
      <c r="J43" s="380">
        <f>VLOOKUP($B$38,BancoTabla_9[],10,FALSE)</f>
        <v>0</v>
      </c>
      <c r="K43" s="380">
        <f>VLOOKUP($B$38,BancoTabla_10[],10,FALSE)</f>
        <v>0</v>
      </c>
      <c r="L43" s="380">
        <f>VLOOKUP($B$38,BancoTabla_11[],10,FALSE)</f>
        <v>0</v>
      </c>
      <c r="M43" s="380">
        <f>VLOOKUP($B$38,BancoTabla_12[],10,FALSE)</f>
        <v>0</v>
      </c>
      <c r="N43" s="380">
        <f>VLOOKUP($B$38,BancoTabla_13[],10,FALSE)</f>
        <v>0</v>
      </c>
      <c r="O43" s="6"/>
      <c r="P43" s="4">
        <f>COS(ATAN(P41/P39))</f>
        <v>0.9952160000000001</v>
      </c>
    </row>
    <row r="44" spans="1:18" x14ac:dyDescent="0.25">
      <c r="A44" s="3" t="s">
        <v>17</v>
      </c>
      <c r="B44" s="37" t="e">
        <f t="shared" ref="B44:H44" si="24">+B42/B39</f>
        <v>#DIV/0!</v>
      </c>
      <c r="C44" s="37" t="e">
        <f>+C42/C39</f>
        <v>#DIV/0!</v>
      </c>
      <c r="D44" s="37" t="e">
        <f>+D42/D39</f>
        <v>#DIV/0!</v>
      </c>
      <c r="E44" s="37" t="e">
        <f t="shared" si="24"/>
        <v>#DIV/0!</v>
      </c>
      <c r="F44" s="37" t="e">
        <f>+F42/F39</f>
        <v>#DIV/0!</v>
      </c>
      <c r="G44" s="37">
        <f t="shared" si="24"/>
        <v>0.54157928079653672</v>
      </c>
      <c r="H44" s="37" t="e">
        <f t="shared" si="24"/>
        <v>#DIV/0!</v>
      </c>
      <c r="I44" s="37" t="e">
        <f t="shared" ref="I44:N44" si="25">+I42/I39</f>
        <v>#DIV/0!</v>
      </c>
      <c r="J44" s="37" t="e">
        <f t="shared" si="25"/>
        <v>#DIV/0!</v>
      </c>
      <c r="K44" s="37" t="e">
        <f t="shared" si="25"/>
        <v>#DIV/0!</v>
      </c>
      <c r="L44" s="37" t="e">
        <f t="shared" si="25"/>
        <v>#DIV/0!</v>
      </c>
      <c r="M44" s="37" t="e">
        <f t="shared" si="25"/>
        <v>#DIV/0!</v>
      </c>
      <c r="N44" s="37" t="e">
        <f t="shared" si="25"/>
        <v>#DIV/0!</v>
      </c>
      <c r="O44" s="6"/>
      <c r="P44" s="4">
        <f>+P42/P39</f>
        <v>0.55963192348975455</v>
      </c>
    </row>
    <row r="45" spans="1:18" x14ac:dyDescent="0.25">
      <c r="A45" s="3" t="s">
        <v>18</v>
      </c>
      <c r="B45" s="37" t="e">
        <f t="shared" ref="B45:H45" si="26">+B36/B39</f>
        <v>#DIV/0!</v>
      </c>
      <c r="C45" s="37" t="e">
        <f>+C36/C39</f>
        <v>#DIV/0!</v>
      </c>
      <c r="D45" s="37" t="e">
        <f t="shared" si="26"/>
        <v>#DIV/0!</v>
      </c>
      <c r="E45" s="37" t="e">
        <f t="shared" si="26"/>
        <v>#DIV/0!</v>
      </c>
      <c r="F45" s="37" t="e">
        <f t="shared" si="26"/>
        <v>#DIV/0!</v>
      </c>
      <c r="G45" s="37">
        <f>+G36/G39</f>
        <v>0.76212300031160307</v>
      </c>
      <c r="H45" s="37" t="e">
        <f t="shared" si="26"/>
        <v>#DIV/0!</v>
      </c>
      <c r="I45" s="37" t="e">
        <f t="shared" ref="I45:N45" si="27">+I36/I39</f>
        <v>#DIV/0!</v>
      </c>
      <c r="J45" s="37" t="e">
        <f t="shared" si="27"/>
        <v>#DIV/0!</v>
      </c>
      <c r="K45" s="37" t="e">
        <f t="shared" si="27"/>
        <v>#DIV/0!</v>
      </c>
      <c r="L45" s="37" t="e">
        <f>+L36/L39</f>
        <v>#DIV/0!</v>
      </c>
      <c r="M45" s="37" t="e">
        <f t="shared" si="27"/>
        <v>#DIV/0!</v>
      </c>
      <c r="N45" s="37" t="e">
        <f t="shared" si="27"/>
        <v>#DIV/0!</v>
      </c>
      <c r="O45" s="6"/>
      <c r="P45" s="4">
        <f>+P36/P39</f>
        <v>0.76212300031160307</v>
      </c>
    </row>
    <row r="46" spans="1:18" x14ac:dyDescent="0.25">
      <c r="A46" s="3" t="s">
        <v>19</v>
      </c>
      <c r="B46" s="37">
        <f t="shared" ref="B46:H46" si="28">+B39/$B$47</f>
        <v>0</v>
      </c>
      <c r="C46" s="37">
        <f>+C39/$B$47</f>
        <v>0</v>
      </c>
      <c r="D46" s="37">
        <f t="shared" si="28"/>
        <v>0</v>
      </c>
      <c r="E46" s="37">
        <f t="shared" si="28"/>
        <v>0</v>
      </c>
      <c r="F46" s="37">
        <f t="shared" si="28"/>
        <v>0</v>
      </c>
      <c r="G46" s="37">
        <f t="shared" si="28"/>
        <v>0.39795372517121902</v>
      </c>
      <c r="H46" s="37">
        <f t="shared" si="28"/>
        <v>0</v>
      </c>
      <c r="I46" s="177">
        <f t="shared" ref="I46:N46" si="29">+I39/$B$47</f>
        <v>0</v>
      </c>
      <c r="J46" s="177">
        <f t="shared" si="29"/>
        <v>0</v>
      </c>
      <c r="K46" s="177">
        <f t="shared" si="29"/>
        <v>0</v>
      </c>
      <c r="L46" s="177">
        <f t="shared" si="29"/>
        <v>0</v>
      </c>
      <c r="M46" s="177">
        <f t="shared" si="29"/>
        <v>0</v>
      </c>
      <c r="N46" s="177">
        <f t="shared" si="29"/>
        <v>0</v>
      </c>
      <c r="O46" s="248"/>
      <c r="P46" s="248">
        <f>+P39/$B$47</f>
        <v>0.39795372517121902</v>
      </c>
    </row>
    <row r="47" spans="1:18" x14ac:dyDescent="0.25">
      <c r="A47" s="3" t="s">
        <v>20</v>
      </c>
      <c r="B47" s="37">
        <f>20*P43*1000</f>
        <v>19904.320000000003</v>
      </c>
      <c r="C47" s="37"/>
      <c r="D47" s="37"/>
      <c r="E47" s="37"/>
      <c r="F47" s="37"/>
      <c r="G47" s="36"/>
      <c r="H47" s="36"/>
      <c r="I47" s="36"/>
      <c r="J47" s="36"/>
      <c r="K47" s="37"/>
      <c r="L47" s="37"/>
      <c r="M47" s="37"/>
      <c r="N47" s="37"/>
      <c r="O47" s="37"/>
      <c r="P47" s="4"/>
    </row>
    <row r="48" spans="1:18" x14ac:dyDescent="0.25">
      <c r="B48" s="237">
        <f>B39/$B$47</f>
        <v>0</v>
      </c>
      <c r="C48" s="237">
        <f>C39/$B$47</f>
        <v>0</v>
      </c>
      <c r="D48" s="237">
        <f t="shared" ref="D48:N48" si="30">D39/$B$47</f>
        <v>0</v>
      </c>
      <c r="E48" s="237">
        <f t="shared" si="30"/>
        <v>0</v>
      </c>
      <c r="F48" s="237">
        <f t="shared" si="30"/>
        <v>0</v>
      </c>
      <c r="G48" s="237">
        <f t="shared" si="30"/>
        <v>0.39795372517121902</v>
      </c>
      <c r="H48" s="237">
        <f t="shared" si="30"/>
        <v>0</v>
      </c>
      <c r="I48" s="237">
        <f t="shared" si="30"/>
        <v>0</v>
      </c>
      <c r="J48" s="237">
        <f t="shared" si="30"/>
        <v>0</v>
      </c>
      <c r="K48" s="237">
        <f t="shared" si="30"/>
        <v>0</v>
      </c>
      <c r="L48" s="237">
        <f t="shared" si="30"/>
        <v>0</v>
      </c>
      <c r="M48" s="237">
        <f t="shared" si="30"/>
        <v>0</v>
      </c>
      <c r="N48" s="237">
        <f t="shared" si="30"/>
        <v>0</v>
      </c>
      <c r="O48" s="24"/>
    </row>
    <row r="49" spans="1:16" x14ac:dyDescent="0.25">
      <c r="B49" s="40"/>
      <c r="C49" s="40"/>
      <c r="D49" s="40"/>
      <c r="E49" s="40"/>
      <c r="F49" s="40"/>
      <c r="G49" s="24"/>
      <c r="H49" s="24"/>
      <c r="I49" s="24"/>
      <c r="J49" s="24"/>
      <c r="K49" s="24"/>
      <c r="L49" s="24"/>
      <c r="M49" s="24"/>
      <c r="N49" s="24"/>
      <c r="O49" s="24"/>
    </row>
    <row r="50" spans="1:16" s="24" customFormat="1" x14ac:dyDescent="0.25">
      <c r="A50" s="271" t="s">
        <v>224</v>
      </c>
      <c r="B50" s="262"/>
      <c r="C50" s="262"/>
      <c r="D50" s="262"/>
      <c r="E50" s="262"/>
      <c r="F50" s="65"/>
      <c r="G50" s="66"/>
      <c r="H50" s="66"/>
      <c r="I50" s="66"/>
      <c r="J50" s="66"/>
      <c r="K50" s="50"/>
      <c r="L50" s="50"/>
      <c r="M50" s="50"/>
      <c r="N50" s="50"/>
      <c r="O50" s="50"/>
      <c r="P50" s="50"/>
    </row>
    <row r="51" spans="1:16" x14ac:dyDescent="0.25">
      <c r="A51" s="3" t="s">
        <v>6</v>
      </c>
      <c r="B51" s="380">
        <f>VLOOKUP($A$50,TABLA_1[],5,FALSE)</f>
        <v>0</v>
      </c>
      <c r="C51" s="380">
        <f>VLOOKUP($A$50,TABLA_2[],5,FALSE)</f>
        <v>0</v>
      </c>
      <c r="D51" s="380">
        <f>VLOOKUP($A$50,TABLA_3[],5,FALSE)</f>
        <v>0</v>
      </c>
      <c r="E51" s="380">
        <f>VLOOKUP($A$50,TABLA_4[],5,FALSE)</f>
        <v>0</v>
      </c>
      <c r="F51" s="380">
        <f>VLOOKUP($A$50,TABLA_5[],5,FALSE)</f>
        <v>0</v>
      </c>
      <c r="G51" s="380">
        <f>VLOOKUP($A$50,TABLA_6[],5,FALSE)</f>
        <v>3846.7629229999998</v>
      </c>
      <c r="H51" s="380">
        <f>VLOOKUP($A$50,TABLA_7[],5,FALSE)</f>
        <v>0</v>
      </c>
      <c r="I51" s="380">
        <f>VLOOKUP($A$50,TABLA_8[],5,FALSE)</f>
        <v>0</v>
      </c>
      <c r="J51" s="380">
        <f>VLOOKUP($A$50,TABLA_9[],5,FALSE)</f>
        <v>0</v>
      </c>
      <c r="K51" s="380">
        <f>VLOOKUP($A$50,TABLA_10[],5,FALSE)</f>
        <v>0</v>
      </c>
      <c r="L51" s="380">
        <f>VLOOKUP($A$50,TABLA_11[],5,FALSE)</f>
        <v>0</v>
      </c>
      <c r="M51" s="380">
        <f>VLOOKUP($A$50,TABLA_12[],5,FALSE)</f>
        <v>0</v>
      </c>
      <c r="N51" s="380">
        <f>VLOOKUP($A$50,TABLA_13[],5,FALSE)</f>
        <v>0</v>
      </c>
      <c r="O51" s="6"/>
      <c r="P51" s="43">
        <f>MAX(B51:N51)</f>
        <v>3846.7629229999998</v>
      </c>
    </row>
    <row r="52" spans="1:16" x14ac:dyDescent="0.25">
      <c r="A52" s="3" t="s">
        <v>7</v>
      </c>
      <c r="B52" s="380">
        <f>VLOOKUP($A$50,TABLA_1[],8,FALSE)</f>
        <v>0</v>
      </c>
      <c r="C52" s="380">
        <f>VLOOKUP($A$50,TABLA_2[],8,FALSE)</f>
        <v>0</v>
      </c>
      <c r="D52" s="380">
        <f>VLOOKUP($A$50,TABLA_3[],8,FALSE)</f>
        <v>0</v>
      </c>
      <c r="E52" s="380">
        <f>VLOOKUP($A$50,TABLA_4[],8,FALSE)</f>
        <v>0</v>
      </c>
      <c r="F52" s="380">
        <f>VLOOKUP($A$50,TABLA_5[],8,FALSE)</f>
        <v>0</v>
      </c>
      <c r="G52" s="380">
        <f>VLOOKUP($A$50,TABLA_6[],8,FALSE)</f>
        <v>1804474.8326709999</v>
      </c>
      <c r="H52" s="380">
        <f>VLOOKUP($A$50,TABLA_7[],8,FALSE)</f>
        <v>0</v>
      </c>
      <c r="I52" s="380">
        <f>VLOOKUP($A$50,TABLA_8[],8,FALSE)</f>
        <v>0</v>
      </c>
      <c r="J52" s="380">
        <f>VLOOKUP($A$50,TABLA_9[],8,FALSE)</f>
        <v>0</v>
      </c>
      <c r="K52" s="380">
        <f>VLOOKUP($A$50,TABLA_10[],8,FALSE)</f>
        <v>0</v>
      </c>
      <c r="L52" s="380">
        <f>VLOOKUP($A$50,TABLA_11[],8,FALSE)</f>
        <v>0</v>
      </c>
      <c r="M52" s="380">
        <f>VLOOKUP($A$50,TABLA_12[],8,FALSE)</f>
        <v>0</v>
      </c>
      <c r="N52" s="380">
        <f>VLOOKUP($A$50,TABLA_13[],8,FALSE)</f>
        <v>0</v>
      </c>
      <c r="O52" s="47">
        <f>SUM(B52:N52)</f>
        <v>1804474.8326709999</v>
      </c>
      <c r="P52" s="43">
        <f>SUM(B52:N52)/(COUNTIF(B52:N52,"&gt;0"))</f>
        <v>1804474.8326709999</v>
      </c>
    </row>
    <row r="53" spans="1:16" x14ac:dyDescent="0.25">
      <c r="A53" s="3" t="s">
        <v>16</v>
      </c>
      <c r="B53" s="37" t="e">
        <f t="shared" ref="B53:H53" si="31">+((B51/B55)^2-(B51^2))^(0.5)</f>
        <v>#DIV/0!</v>
      </c>
      <c r="C53" s="37" t="e">
        <f>+((C51/C55)^2-(C51^2))^(0.5)</f>
        <v>#DIV/0!</v>
      </c>
      <c r="D53" s="37" t="e">
        <f t="shared" si="31"/>
        <v>#DIV/0!</v>
      </c>
      <c r="E53" s="37" t="e">
        <f t="shared" si="31"/>
        <v>#DIV/0!</v>
      </c>
      <c r="F53" s="37" t="e">
        <f t="shared" si="31"/>
        <v>#DIV/0!</v>
      </c>
      <c r="G53" s="37">
        <f t="shared" si="31"/>
        <v>655.36164001660268</v>
      </c>
      <c r="H53" s="37" t="e">
        <f t="shared" si="31"/>
        <v>#DIV/0!</v>
      </c>
      <c r="I53" s="37" t="e">
        <f t="shared" ref="I53:N53" si="32">+((I51/I55)^2-(I51^2))^(0.5)</f>
        <v>#DIV/0!</v>
      </c>
      <c r="J53" s="37" t="e">
        <f t="shared" si="32"/>
        <v>#DIV/0!</v>
      </c>
      <c r="K53" s="37" t="e">
        <f t="shared" si="32"/>
        <v>#DIV/0!</v>
      </c>
      <c r="L53" s="37" t="e">
        <f>+((L51/L55)^2-(L51^2))^(0.5)</f>
        <v>#DIV/0!</v>
      </c>
      <c r="M53" s="37" t="e">
        <f t="shared" si="32"/>
        <v>#DIV/0!</v>
      </c>
      <c r="N53" s="37" t="e">
        <f t="shared" si="32"/>
        <v>#DIV/0!</v>
      </c>
      <c r="O53" s="37"/>
      <c r="P53" s="4">
        <f>HLOOKUP(P51,B51:N53,3,FALSE)</f>
        <v>655.36164001660268</v>
      </c>
    </row>
    <row r="54" spans="1:16" x14ac:dyDescent="0.25">
      <c r="A54" s="3" t="s">
        <v>8</v>
      </c>
      <c r="B54" s="37">
        <f t="shared" ref="B54:H54" si="33">+B52/(24*B$8)</f>
        <v>0</v>
      </c>
      <c r="C54" s="37">
        <f>+C52/(24*C$8)</f>
        <v>0</v>
      </c>
      <c r="D54" s="37">
        <f t="shared" si="33"/>
        <v>0</v>
      </c>
      <c r="E54" s="37">
        <f t="shared" si="33"/>
        <v>0</v>
      </c>
      <c r="F54" s="37">
        <f t="shared" si="33"/>
        <v>0</v>
      </c>
      <c r="G54" s="37">
        <f t="shared" si="33"/>
        <v>2425.3693987513439</v>
      </c>
      <c r="H54" s="37">
        <f t="shared" si="33"/>
        <v>0</v>
      </c>
      <c r="I54" s="37">
        <f t="shared" ref="I54:N54" si="34">+I52/(24*I$8)</f>
        <v>0</v>
      </c>
      <c r="J54" s="37">
        <f t="shared" si="34"/>
        <v>0</v>
      </c>
      <c r="K54" s="37">
        <f t="shared" si="34"/>
        <v>0</v>
      </c>
      <c r="L54" s="37">
        <f t="shared" si="34"/>
        <v>0</v>
      </c>
      <c r="M54" s="37">
        <f t="shared" si="34"/>
        <v>0</v>
      </c>
      <c r="N54" s="37">
        <f t="shared" si="34"/>
        <v>0</v>
      </c>
      <c r="O54" s="6">
        <f>SUM(O52)/(24*O$8)</f>
        <v>205.99027770216895</v>
      </c>
      <c r="P54" s="4">
        <f>O52/(COUNTIF(B52:N52,"&gt;0")*720)</f>
        <v>2506.2150453763888</v>
      </c>
    </row>
    <row r="55" spans="1:16" x14ac:dyDescent="0.25">
      <c r="A55" s="3" t="s">
        <v>9</v>
      </c>
      <c r="B55" s="380">
        <f>VLOOKUP($A$50,TABLA_1[],10,FALSE)</f>
        <v>0</v>
      </c>
      <c r="C55" s="380">
        <f>VLOOKUP($A$50,TABLA_2[],10,FALSE)</f>
        <v>0</v>
      </c>
      <c r="D55" s="380">
        <f>VLOOKUP($A$50,TABLA_3[],10,FALSE)</f>
        <v>0</v>
      </c>
      <c r="E55" s="380">
        <f>VLOOKUP($A$50,TABLA_4[],10,FALSE)</f>
        <v>0</v>
      </c>
      <c r="F55" s="380">
        <f>VLOOKUP($A$50,TABLA_5[],10,FALSE)</f>
        <v>0</v>
      </c>
      <c r="G55" s="380">
        <f>VLOOKUP($A$50,TABLA_6[],10,FALSE)</f>
        <v>0.98579600000000001</v>
      </c>
      <c r="H55" s="380">
        <f>VLOOKUP($A$50,TABLA_7[],10,FALSE)</f>
        <v>0</v>
      </c>
      <c r="I55" s="380">
        <f>VLOOKUP($A$50,TABLA_8[],10,FALSE)</f>
        <v>0</v>
      </c>
      <c r="J55" s="380">
        <f>VLOOKUP($A$50,TABLA_9[],10,FALSE)</f>
        <v>0</v>
      </c>
      <c r="K55" s="380">
        <f>VLOOKUP($A$50,TABLA_10[],10,FALSE)</f>
        <v>0</v>
      </c>
      <c r="L55" s="380">
        <f>VLOOKUP($A$50,TABLA_11[],10,FALSE)</f>
        <v>0</v>
      </c>
      <c r="M55" s="380">
        <f>VLOOKUP($A$50,TABLA_12[],10,FALSE)</f>
        <v>0</v>
      </c>
      <c r="N55" s="380">
        <f>VLOOKUP($A$50,TABLA_13[],10,FALSE)</f>
        <v>0</v>
      </c>
      <c r="O55" s="6"/>
      <c r="P55" s="4">
        <f>COS(ATAN(P53/P51))</f>
        <v>0.98579600000000001</v>
      </c>
    </row>
    <row r="56" spans="1:16" x14ac:dyDescent="0.25">
      <c r="A56" s="3" t="s">
        <v>17</v>
      </c>
      <c r="B56" s="37" t="e">
        <f t="shared" ref="B56:H56" si="35">+B54/B51</f>
        <v>#DIV/0!</v>
      </c>
      <c r="C56" s="37" t="e">
        <f>+C54/C51</f>
        <v>#DIV/0!</v>
      </c>
      <c r="D56" s="37" t="e">
        <f t="shared" si="35"/>
        <v>#DIV/0!</v>
      </c>
      <c r="E56" s="37" t="e">
        <f t="shared" si="35"/>
        <v>#DIV/0!</v>
      </c>
      <c r="F56" s="37" t="e">
        <f t="shared" si="35"/>
        <v>#DIV/0!</v>
      </c>
      <c r="G56" s="37">
        <f t="shared" si="35"/>
        <v>0.63049619830999504</v>
      </c>
      <c r="H56" s="37" t="e">
        <f t="shared" si="35"/>
        <v>#DIV/0!</v>
      </c>
      <c r="I56" s="37" t="e">
        <f t="shared" ref="I56:N56" si="36">+I54/I51</f>
        <v>#DIV/0!</v>
      </c>
      <c r="J56" s="37" t="e">
        <f t="shared" si="36"/>
        <v>#DIV/0!</v>
      </c>
      <c r="K56" s="37" t="e">
        <f t="shared" si="36"/>
        <v>#DIV/0!</v>
      </c>
      <c r="L56" s="37" t="e">
        <f t="shared" si="36"/>
        <v>#DIV/0!</v>
      </c>
      <c r="M56" s="37" t="e">
        <f t="shared" si="36"/>
        <v>#DIV/0!</v>
      </c>
      <c r="N56" s="37" t="e">
        <f t="shared" si="36"/>
        <v>#DIV/0!</v>
      </c>
      <c r="O56" s="6"/>
      <c r="P56" s="4">
        <f>+P54/P51</f>
        <v>0.65151273825366152</v>
      </c>
    </row>
    <row r="57" spans="1:16" s="24" customFormat="1" x14ac:dyDescent="0.25">
      <c r="A57" s="271" t="s">
        <v>225</v>
      </c>
      <c r="B57" s="65"/>
      <c r="C57" s="65"/>
      <c r="D57" s="65"/>
      <c r="E57" s="65"/>
      <c r="F57" s="65"/>
      <c r="G57" s="66"/>
      <c r="H57" s="66"/>
      <c r="I57" s="66"/>
      <c r="J57" s="66"/>
      <c r="K57" s="50"/>
      <c r="L57" s="50"/>
      <c r="M57" s="50"/>
      <c r="N57" s="50"/>
      <c r="O57" s="50"/>
      <c r="P57" s="50"/>
    </row>
    <row r="58" spans="1:16" x14ac:dyDescent="0.25">
      <c r="A58" s="3" t="s">
        <v>6</v>
      </c>
      <c r="B58" s="380">
        <f>VLOOKUP($A$57,TABLA_1[],5,FALSE)</f>
        <v>0</v>
      </c>
      <c r="C58" s="380">
        <f>VLOOKUP($A$57,TABLA_2[],5,FALSE)</f>
        <v>0</v>
      </c>
      <c r="D58" s="380">
        <f>VLOOKUP($A$57,TABLA_3[],5,FALSE)</f>
        <v>0</v>
      </c>
      <c r="E58" s="380">
        <f>VLOOKUP($A$57,TABLA_4[],5,FALSE)</f>
        <v>0</v>
      </c>
      <c r="F58" s="380">
        <f>VLOOKUP($A$57,TABLA_5[],5,FALSE)</f>
        <v>0</v>
      </c>
      <c r="G58" s="380">
        <f>VLOOKUP($A$57,TABLA_6[],5,FALSE)</f>
        <v>2666.4616289999999</v>
      </c>
      <c r="H58" s="380">
        <f>VLOOKUP($A$57,TABLA_7[],5,FALSE)</f>
        <v>0</v>
      </c>
      <c r="I58" s="380">
        <f>VLOOKUP($A$57,TABLA_8[],5,FALSE)</f>
        <v>0</v>
      </c>
      <c r="J58" s="380">
        <f>VLOOKUP($A$57,TABLA_9[],5,FALSE)</f>
        <v>0</v>
      </c>
      <c r="K58" s="380">
        <f>VLOOKUP($A$57,TABLA_10[],5,FALSE)</f>
        <v>0</v>
      </c>
      <c r="L58" s="380">
        <f>VLOOKUP($A$57,TABLA_11[],5,FALSE)</f>
        <v>0</v>
      </c>
      <c r="M58" s="380">
        <f>VLOOKUP($A$57,TABLA_12[],5,FALSE)</f>
        <v>0</v>
      </c>
      <c r="N58" s="380">
        <f>VLOOKUP($A$57,TABLA_13[],5,FALSE)</f>
        <v>0</v>
      </c>
      <c r="O58" s="6"/>
      <c r="P58" s="43">
        <f>MAX(B58:N58)</f>
        <v>2666.4616289999999</v>
      </c>
    </row>
    <row r="59" spans="1:16" x14ac:dyDescent="0.25">
      <c r="A59" s="3" t="s">
        <v>7</v>
      </c>
      <c r="B59" s="380">
        <f>VLOOKUP($A$57,TABLA_1[],8,FALSE)</f>
        <v>0</v>
      </c>
      <c r="C59" s="380">
        <f>VLOOKUP($A$57,TABLA_2[],8,FALSE)</f>
        <v>0</v>
      </c>
      <c r="D59" s="380">
        <f>VLOOKUP($A$57,TABLA_3[],8,FALSE)</f>
        <v>0</v>
      </c>
      <c r="E59" s="380">
        <f>VLOOKUP($A$57,TABLA_4[],8,FALSE)</f>
        <v>0</v>
      </c>
      <c r="F59" s="380">
        <f>VLOOKUP($A$57,TABLA_5[],8,FALSE)</f>
        <v>0</v>
      </c>
      <c r="G59" s="380">
        <f>VLOOKUP($A$57,TABLA_6[],8,FALSE)</f>
        <v>1216714.6564499999</v>
      </c>
      <c r="H59" s="380">
        <f>VLOOKUP($A$57,TABLA_7[],8,FALSE)</f>
        <v>0</v>
      </c>
      <c r="I59" s="380">
        <f>VLOOKUP($A$57,TABLA_8[],8,FALSE)</f>
        <v>0</v>
      </c>
      <c r="J59" s="380">
        <f>VLOOKUP($A$57,TABLA_9[],8,FALSE)</f>
        <v>0</v>
      </c>
      <c r="K59" s="380">
        <f>VLOOKUP($A$57,TABLA_10[],8,FALSE)</f>
        <v>0</v>
      </c>
      <c r="L59" s="380">
        <f>VLOOKUP($A$57,TABLA_11[],8,FALSE)</f>
        <v>0</v>
      </c>
      <c r="M59" s="380">
        <f>VLOOKUP($A$57,TABLA_12[],8,FALSE)</f>
        <v>0</v>
      </c>
      <c r="N59" s="380">
        <f>VLOOKUP($A$57,TABLA_13[],8,FALSE)</f>
        <v>0</v>
      </c>
      <c r="O59" s="47">
        <f>SUM(B59:N59)</f>
        <v>1216714.6564499999</v>
      </c>
      <c r="P59" s="43">
        <f>SUM(B59:N59)/(COUNTIF(B59:N59,"&gt;0"))</f>
        <v>1216714.6564499999</v>
      </c>
    </row>
    <row r="60" spans="1:16" x14ac:dyDescent="0.25">
      <c r="A60" s="3" t="s">
        <v>16</v>
      </c>
      <c r="B60" s="37" t="e">
        <f t="shared" ref="B60:H60" si="37">+((B58/B62)^2-(B58^2))^(0.5)</f>
        <v>#DIV/0!</v>
      </c>
      <c r="C60" s="37" t="e">
        <f>+((C58/C62)^2-(C58^2))^(0.5)</f>
        <v>#DIV/0!</v>
      </c>
      <c r="D60" s="37" t="e">
        <f t="shared" si="37"/>
        <v>#DIV/0!</v>
      </c>
      <c r="E60" s="37" t="e">
        <f t="shared" si="37"/>
        <v>#DIV/0!</v>
      </c>
      <c r="F60" s="37" t="e">
        <f t="shared" si="37"/>
        <v>#DIV/0!</v>
      </c>
      <c r="G60" s="37">
        <f t="shared" si="37"/>
        <v>852.62276212074437</v>
      </c>
      <c r="H60" s="37" t="e">
        <f t="shared" si="37"/>
        <v>#DIV/0!</v>
      </c>
      <c r="I60" s="37" t="e">
        <f t="shared" ref="I60:N60" si="38">+((I58/I62)^2-(I58^2))^(0.5)</f>
        <v>#DIV/0!</v>
      </c>
      <c r="J60" s="37" t="e">
        <f t="shared" si="38"/>
        <v>#DIV/0!</v>
      </c>
      <c r="K60" s="37" t="e">
        <f t="shared" si="38"/>
        <v>#DIV/0!</v>
      </c>
      <c r="L60" s="37" t="e">
        <f t="shared" si="38"/>
        <v>#DIV/0!</v>
      </c>
      <c r="M60" s="37" t="e">
        <f t="shared" si="38"/>
        <v>#DIV/0!</v>
      </c>
      <c r="N60" s="37" t="e">
        <f t="shared" si="38"/>
        <v>#DIV/0!</v>
      </c>
      <c r="O60" s="37"/>
      <c r="P60" s="4">
        <f>HLOOKUP(P58,B58:N60,3,FALSE)</f>
        <v>852.62276212074437</v>
      </c>
    </row>
    <row r="61" spans="1:16" x14ac:dyDescent="0.25">
      <c r="A61" s="3" t="s">
        <v>8</v>
      </c>
      <c r="B61" s="37">
        <f t="shared" ref="B61:H61" si="39">+B59/(24*B$8)</f>
        <v>0</v>
      </c>
      <c r="C61" s="37">
        <f>+C59/(24*C$8)</f>
        <v>0</v>
      </c>
      <c r="D61" s="37">
        <f t="shared" si="39"/>
        <v>0</v>
      </c>
      <c r="E61" s="37">
        <f t="shared" si="39"/>
        <v>0</v>
      </c>
      <c r="F61" s="37">
        <f t="shared" si="39"/>
        <v>0</v>
      </c>
      <c r="G61" s="37">
        <f t="shared" si="39"/>
        <v>1635.3691618951611</v>
      </c>
      <c r="H61" s="37">
        <f t="shared" si="39"/>
        <v>0</v>
      </c>
      <c r="I61" s="37">
        <f t="shared" ref="I61:N61" si="40">+I59/(24*I$8)</f>
        <v>0</v>
      </c>
      <c r="J61" s="37">
        <f t="shared" si="40"/>
        <v>0</v>
      </c>
      <c r="K61" s="37">
        <f t="shared" si="40"/>
        <v>0</v>
      </c>
      <c r="L61" s="37">
        <f t="shared" si="40"/>
        <v>0</v>
      </c>
      <c r="M61" s="37">
        <f t="shared" si="40"/>
        <v>0</v>
      </c>
      <c r="N61" s="37">
        <f t="shared" si="40"/>
        <v>0</v>
      </c>
      <c r="O61" s="6">
        <f>SUM(O59)/(24*O$8)</f>
        <v>138.89436717465753</v>
      </c>
      <c r="P61" s="4">
        <f>O59/(COUNTIF(B59:N59,"&gt;0")*720)</f>
        <v>1689.8814672916665</v>
      </c>
    </row>
    <row r="62" spans="1:16" x14ac:dyDescent="0.25">
      <c r="A62" s="3" t="s">
        <v>9</v>
      </c>
      <c r="B62" s="380">
        <f>VLOOKUP($A$57,TABLA_1[],10,FALSE)</f>
        <v>0</v>
      </c>
      <c r="C62" s="380">
        <f>VLOOKUP($A$57,TABLA_2[],10,FALSE)</f>
        <v>0</v>
      </c>
      <c r="D62" s="380">
        <f>VLOOKUP($A$57,TABLA_3[],10,FALSE)</f>
        <v>0</v>
      </c>
      <c r="E62" s="380">
        <f>VLOOKUP($A$57,TABLA_4[],10,FALSE)</f>
        <v>0</v>
      </c>
      <c r="F62" s="380">
        <f>VLOOKUP($A$57,TABLA_5[],10,FALSE)</f>
        <v>0</v>
      </c>
      <c r="G62" s="380">
        <f>VLOOKUP($A$57,TABLA_6[],10,FALSE)</f>
        <v>0.95249099999999998</v>
      </c>
      <c r="H62" s="380">
        <f>VLOOKUP($A$57,TABLA_7[],10,FALSE)</f>
        <v>0</v>
      </c>
      <c r="I62" s="380">
        <f>VLOOKUP($A$57,TABLA_8[],10,FALSE)</f>
        <v>0</v>
      </c>
      <c r="J62" s="380">
        <f>VLOOKUP($A$57,TABLA_9[],10,FALSE)</f>
        <v>0</v>
      </c>
      <c r="K62" s="380">
        <f>VLOOKUP($A$57,TABLA_10[],10,FALSE)</f>
        <v>0</v>
      </c>
      <c r="L62" s="380">
        <f>VLOOKUP($A$57,TABLA_11[],10,FALSE)</f>
        <v>0</v>
      </c>
      <c r="M62" s="380">
        <f>VLOOKUP($A$57,TABLA_12[],10,FALSE)</f>
        <v>0</v>
      </c>
      <c r="N62" s="380">
        <f>VLOOKUP($A$57,TABLA_13[],10,FALSE)</f>
        <v>0</v>
      </c>
      <c r="O62" s="6"/>
      <c r="P62" s="4">
        <f>COS(ATAN(P60/P58))</f>
        <v>0.95249099999999998</v>
      </c>
    </row>
    <row r="63" spans="1:16" x14ac:dyDescent="0.25">
      <c r="A63" s="3" t="s">
        <v>17</v>
      </c>
      <c r="B63" s="37" t="e">
        <f t="shared" ref="B63:H63" si="41">+B61/B58</f>
        <v>#DIV/0!</v>
      </c>
      <c r="C63" s="37" t="e">
        <f>+C61/C58</f>
        <v>#DIV/0!</v>
      </c>
      <c r="D63" s="37" t="e">
        <f t="shared" si="41"/>
        <v>#DIV/0!</v>
      </c>
      <c r="E63" s="37" t="e">
        <f t="shared" si="41"/>
        <v>#DIV/0!</v>
      </c>
      <c r="F63" s="37" t="e">
        <f t="shared" si="41"/>
        <v>#DIV/0!</v>
      </c>
      <c r="G63" s="37">
        <f t="shared" si="41"/>
        <v>0.61331059262550569</v>
      </c>
      <c r="H63" s="37" t="e">
        <f t="shared" si="41"/>
        <v>#DIV/0!</v>
      </c>
      <c r="I63" s="37" t="e">
        <f t="shared" ref="I63:N63" si="42">+I61/I58</f>
        <v>#DIV/0!</v>
      </c>
      <c r="J63" s="37" t="e">
        <f t="shared" si="42"/>
        <v>#DIV/0!</v>
      </c>
      <c r="K63" s="37" t="e">
        <f t="shared" si="42"/>
        <v>#DIV/0!</v>
      </c>
      <c r="L63" s="37" t="e">
        <f t="shared" si="42"/>
        <v>#DIV/0!</v>
      </c>
      <c r="M63" s="37" t="e">
        <f t="shared" si="42"/>
        <v>#DIV/0!</v>
      </c>
      <c r="N63" s="37" t="e">
        <f t="shared" si="42"/>
        <v>#DIV/0!</v>
      </c>
      <c r="O63" s="6"/>
      <c r="P63" s="4">
        <f>+P61/P58</f>
        <v>0.63375427904635584</v>
      </c>
    </row>
    <row r="64" spans="1:16" x14ac:dyDescent="0.25">
      <c r="B64" s="40"/>
      <c r="C64" s="40"/>
      <c r="D64" s="40"/>
      <c r="E64" s="40"/>
      <c r="F64" s="40"/>
      <c r="G64" s="24"/>
      <c r="H64" s="24"/>
      <c r="I64" s="24"/>
      <c r="J64" s="24"/>
      <c r="K64" s="24"/>
      <c r="L64" s="24"/>
      <c r="M64" s="24"/>
      <c r="N64" s="24"/>
      <c r="O64" s="24"/>
    </row>
    <row r="65" spans="1:18" x14ac:dyDescent="0.25">
      <c r="B65" s="40"/>
      <c r="C65" s="40"/>
      <c r="D65" s="40"/>
      <c r="E65" s="40"/>
      <c r="F65" s="40"/>
      <c r="G65" s="24"/>
      <c r="H65" s="24"/>
      <c r="I65" s="24"/>
      <c r="J65" s="24"/>
      <c r="K65" s="24"/>
      <c r="L65" s="24"/>
      <c r="M65" s="24"/>
      <c r="N65" s="24"/>
      <c r="O65" s="24"/>
    </row>
    <row r="66" spans="1:18" x14ac:dyDescent="0.25">
      <c r="A66" s="7" t="s">
        <v>10</v>
      </c>
      <c r="B66" s="72"/>
      <c r="C66" s="72"/>
      <c r="D66" s="72"/>
      <c r="E66" s="72"/>
      <c r="F66" s="72"/>
      <c r="G66" s="73"/>
      <c r="H66" s="73"/>
      <c r="I66" s="73"/>
      <c r="J66" s="73"/>
      <c r="K66" s="73"/>
      <c r="L66" s="53"/>
      <c r="M66" s="53"/>
      <c r="N66" s="53"/>
      <c r="O66" s="53"/>
      <c r="P66" s="8"/>
    </row>
    <row r="67" spans="1:18" x14ac:dyDescent="0.25">
      <c r="A67" s="9" t="s">
        <v>11</v>
      </c>
      <c r="B67" s="62">
        <f>+B51+B58</f>
        <v>0</v>
      </c>
      <c r="C67" s="62">
        <f>+C51+C58</f>
        <v>0</v>
      </c>
      <c r="D67" s="62">
        <f t="shared" ref="D67:N67" si="43">+D51+D58</f>
        <v>0</v>
      </c>
      <c r="E67" s="62">
        <f t="shared" si="43"/>
        <v>0</v>
      </c>
      <c r="F67" s="62">
        <f t="shared" si="43"/>
        <v>0</v>
      </c>
      <c r="G67" s="62">
        <f t="shared" si="43"/>
        <v>6513.2245519999997</v>
      </c>
      <c r="H67" s="62">
        <f t="shared" si="43"/>
        <v>0</v>
      </c>
      <c r="I67" s="62">
        <f t="shared" si="43"/>
        <v>0</v>
      </c>
      <c r="J67" s="62">
        <f t="shared" si="43"/>
        <v>0</v>
      </c>
      <c r="K67" s="62">
        <f t="shared" si="43"/>
        <v>0</v>
      </c>
      <c r="L67" s="62">
        <f t="shared" si="43"/>
        <v>0</v>
      </c>
      <c r="M67" s="62">
        <f t="shared" si="43"/>
        <v>0</v>
      </c>
      <c r="N67" s="62">
        <f t="shared" si="43"/>
        <v>0</v>
      </c>
      <c r="O67" s="54"/>
      <c r="P67" s="42">
        <f>MAX(B67:N67)</f>
        <v>6513.2245519999997</v>
      </c>
    </row>
    <row r="68" spans="1:18" x14ac:dyDescent="0.25">
      <c r="A68" s="9" t="s">
        <v>7</v>
      </c>
      <c r="B68" s="62">
        <f>+B52+B59</f>
        <v>0</v>
      </c>
      <c r="C68" s="62">
        <f>+C52+C59</f>
        <v>0</v>
      </c>
      <c r="D68" s="62">
        <f t="shared" ref="D68:N68" si="44">+D52+D59</f>
        <v>0</v>
      </c>
      <c r="E68" s="62">
        <f t="shared" si="44"/>
        <v>0</v>
      </c>
      <c r="F68" s="62">
        <f t="shared" si="44"/>
        <v>0</v>
      </c>
      <c r="G68" s="62">
        <f t="shared" si="44"/>
        <v>3021189.4891209998</v>
      </c>
      <c r="H68" s="62">
        <f t="shared" si="44"/>
        <v>0</v>
      </c>
      <c r="I68" s="62">
        <f t="shared" si="44"/>
        <v>0</v>
      </c>
      <c r="J68" s="62">
        <f t="shared" si="44"/>
        <v>0</v>
      </c>
      <c r="K68" s="62">
        <f t="shared" si="44"/>
        <v>0</v>
      </c>
      <c r="L68" s="62">
        <f t="shared" si="44"/>
        <v>0</v>
      </c>
      <c r="M68" s="62">
        <f t="shared" si="44"/>
        <v>0</v>
      </c>
      <c r="N68" s="62">
        <f t="shared" si="44"/>
        <v>0</v>
      </c>
      <c r="O68" s="62">
        <f>SUM(B68:N68)</f>
        <v>3021189.4891209998</v>
      </c>
      <c r="P68" s="42"/>
    </row>
    <row r="69" spans="1:18" s="24" customFormat="1" x14ac:dyDescent="0.25">
      <c r="A69" s="272" t="s">
        <v>13</v>
      </c>
      <c r="B69" s="376" t="s">
        <v>479</v>
      </c>
      <c r="C69" s="246"/>
      <c r="D69" s="246"/>
      <c r="E69" s="246"/>
      <c r="F69" s="246"/>
      <c r="G69" s="247"/>
      <c r="H69" s="247"/>
      <c r="I69" s="247"/>
      <c r="J69" s="247"/>
      <c r="K69" s="36"/>
      <c r="L69" s="36"/>
      <c r="M69" s="36"/>
      <c r="N69" s="36"/>
      <c r="O69" s="47"/>
      <c r="P69" s="47"/>
    </row>
    <row r="70" spans="1:18" x14ac:dyDescent="0.25">
      <c r="A70" s="3" t="s">
        <v>6</v>
      </c>
      <c r="B70" s="36"/>
      <c r="C70" s="178">
        <v>4680</v>
      </c>
      <c r="D70" s="178">
        <v>5279.3899730000003</v>
      </c>
      <c r="E70" s="178">
        <v>6120.6017250000004</v>
      </c>
      <c r="F70" s="178">
        <v>5732</v>
      </c>
      <c r="G70" s="380">
        <f>VLOOKUP($B$69,BancoTabla_6[],5,FALSE)</f>
        <v>7052.2592619999996</v>
      </c>
      <c r="H70" s="178"/>
      <c r="I70" s="47"/>
      <c r="J70" s="47"/>
      <c r="K70" s="47"/>
      <c r="L70" s="47"/>
      <c r="M70" s="47"/>
      <c r="N70" s="47"/>
      <c r="O70" s="79"/>
      <c r="P70" s="43">
        <f>MAX(B70:N70)</f>
        <v>7052.2592619999996</v>
      </c>
      <c r="Q70" s="334">
        <f>P70/1000</f>
        <v>7.0522592619999998</v>
      </c>
    </row>
    <row r="71" spans="1:18" x14ac:dyDescent="0.25">
      <c r="A71" s="3" t="s">
        <v>7</v>
      </c>
      <c r="B71" s="36"/>
      <c r="C71" s="178">
        <v>1916689.8495090001</v>
      </c>
      <c r="D71" s="178">
        <v>1902661.7520349999</v>
      </c>
      <c r="E71" s="178">
        <v>2679432.0619870001</v>
      </c>
      <c r="F71" s="178">
        <v>2850900.3092193604</v>
      </c>
      <c r="G71" s="380">
        <f>VLOOKUP($B$69,BancoTabla_6[],8,FALSE)</f>
        <v>3209908.5414399998</v>
      </c>
      <c r="H71" s="178"/>
      <c r="I71" s="47"/>
      <c r="J71" s="47"/>
      <c r="K71" s="47"/>
      <c r="L71" s="47"/>
      <c r="M71" s="47"/>
      <c r="N71" s="47"/>
      <c r="O71" s="47">
        <f>SUM(B71:N71)</f>
        <v>12559592.514190361</v>
      </c>
      <c r="P71" s="4">
        <f>SUM(B71:N71)/(COUNTIF(B71:N71,"&gt;0"))</f>
        <v>2511918.5028380724</v>
      </c>
      <c r="R71" s="39"/>
    </row>
    <row r="72" spans="1:18" x14ac:dyDescent="0.25">
      <c r="A72" s="3" t="s">
        <v>16</v>
      </c>
      <c r="B72" s="37" t="e">
        <f t="shared" ref="B72:H72" si="45">+((B70/B74)^2-(B70^2))^(0.5)</f>
        <v>#DIV/0!</v>
      </c>
      <c r="C72" s="37">
        <f>+((C70/C74)^2-(C70^2))^(0.5)</f>
        <v>27.289202806481761</v>
      </c>
      <c r="D72" s="37">
        <f t="shared" si="45"/>
        <v>1072.025856881972</v>
      </c>
      <c r="E72" s="37">
        <f t="shared" si="45"/>
        <v>872.13851082083465</v>
      </c>
      <c r="F72" s="37">
        <f t="shared" si="45"/>
        <v>1620.1270492760029</v>
      </c>
      <c r="G72" s="37">
        <f t="shared" si="45"/>
        <v>648.16139376046715</v>
      </c>
      <c r="H72" s="37">
        <f t="shared" si="45"/>
        <v>0</v>
      </c>
      <c r="I72" s="37">
        <f t="shared" ref="I72:N72" si="46">+((I70/I74)^2-(I70^2))^(0.5)</f>
        <v>0</v>
      </c>
      <c r="J72" s="37">
        <f t="shared" si="46"/>
        <v>0</v>
      </c>
      <c r="K72" s="37">
        <f t="shared" si="46"/>
        <v>0</v>
      </c>
      <c r="L72" s="37">
        <f t="shared" si="46"/>
        <v>0</v>
      </c>
      <c r="M72" s="37">
        <f t="shared" si="46"/>
        <v>0</v>
      </c>
      <c r="N72" s="37">
        <f t="shared" si="46"/>
        <v>0</v>
      </c>
      <c r="O72" s="37"/>
      <c r="P72" s="4">
        <f>HLOOKUP(P70,B70:N72,3,FALSE)</f>
        <v>648.16139376046715</v>
      </c>
    </row>
    <row r="73" spans="1:18" x14ac:dyDescent="0.25">
      <c r="A73" s="3" t="s">
        <v>8</v>
      </c>
      <c r="B73" s="37">
        <f t="shared" ref="B73:H73" si="47">+B71/(24*B$8)</f>
        <v>0</v>
      </c>
      <c r="C73" s="37">
        <f>+C71/(24*C$8)</f>
        <v>2576.1960342862903</v>
      </c>
      <c r="D73" s="37">
        <f t="shared" si="47"/>
        <v>2831.3418929092259</v>
      </c>
      <c r="E73" s="37">
        <f t="shared" si="47"/>
        <v>3601.3871800900538</v>
      </c>
      <c r="F73" s="37">
        <f t="shared" si="47"/>
        <v>3959.583762804667</v>
      </c>
      <c r="G73" s="37">
        <f t="shared" si="47"/>
        <v>4314.3932008602151</v>
      </c>
      <c r="H73" s="37">
        <f t="shared" si="47"/>
        <v>0</v>
      </c>
      <c r="I73" s="37">
        <f t="shared" ref="I73:N73" si="48">+I71/(24*I$8)</f>
        <v>0</v>
      </c>
      <c r="J73" s="37">
        <f t="shared" si="48"/>
        <v>0</v>
      </c>
      <c r="K73" s="37">
        <f t="shared" si="48"/>
        <v>0</v>
      </c>
      <c r="L73" s="37">
        <f t="shared" si="48"/>
        <v>0</v>
      </c>
      <c r="M73" s="37">
        <f t="shared" si="48"/>
        <v>0</v>
      </c>
      <c r="N73" s="37">
        <f t="shared" si="48"/>
        <v>0</v>
      </c>
      <c r="O73" s="6">
        <f>SUM(O71)/(24*O$8)</f>
        <v>1433.7434376929637</v>
      </c>
      <c r="P73" s="4">
        <f>O71/(COUNTIF(B71:N71,"&gt;0")*720)</f>
        <v>3488.7756983862114</v>
      </c>
    </row>
    <row r="74" spans="1:18" x14ac:dyDescent="0.25">
      <c r="A74" s="3" t="s">
        <v>9</v>
      </c>
      <c r="B74" s="24"/>
      <c r="C74" s="328">
        <v>0.99998299999999996</v>
      </c>
      <c r="D74" s="36">
        <v>0.98</v>
      </c>
      <c r="E74" s="36">
        <v>0.99</v>
      </c>
      <c r="F74" s="36">
        <v>0.96230000000000004</v>
      </c>
      <c r="G74" s="384">
        <f>VLOOKUP($B$69,BancoTabla_6[],10,FALSE)</f>
        <v>0.99580299999999999</v>
      </c>
      <c r="H74" s="36">
        <v>0.98</v>
      </c>
      <c r="I74" s="36">
        <v>0.98</v>
      </c>
      <c r="J74" s="177">
        <v>0.98</v>
      </c>
      <c r="K74" s="335">
        <v>0.999</v>
      </c>
      <c r="L74" s="36">
        <v>0.999</v>
      </c>
      <c r="M74" s="37">
        <v>0.98</v>
      </c>
      <c r="N74" s="36">
        <v>0.99</v>
      </c>
      <c r="O74" s="6"/>
      <c r="P74" s="4">
        <f>COS(ATAN(P72/P70))</f>
        <v>0.99580299999999999</v>
      </c>
    </row>
    <row r="75" spans="1:18" x14ac:dyDescent="0.25">
      <c r="A75" s="3" t="s">
        <v>17</v>
      </c>
      <c r="B75" s="37" t="e">
        <f t="shared" ref="B75:H75" si="49">+B73/B70</f>
        <v>#DIV/0!</v>
      </c>
      <c r="C75" s="37">
        <f>+C73/C70</f>
        <v>0.55046923809536119</v>
      </c>
      <c r="D75" s="37">
        <f t="shared" si="49"/>
        <v>0.53630095662365374</v>
      </c>
      <c r="E75" s="37">
        <f t="shared" si="49"/>
        <v>0.58840410500489693</v>
      </c>
      <c r="F75" s="37">
        <f t="shared" si="49"/>
        <v>0.69078572275029082</v>
      </c>
      <c r="G75" s="37">
        <f t="shared" si="49"/>
        <v>0.61177461584653459</v>
      </c>
      <c r="H75" s="37" t="e">
        <f t="shared" si="49"/>
        <v>#DIV/0!</v>
      </c>
      <c r="I75" s="37" t="e">
        <f t="shared" ref="I75:N75" si="50">+I73/I70</f>
        <v>#DIV/0!</v>
      </c>
      <c r="J75" s="37" t="e">
        <f t="shared" si="50"/>
        <v>#DIV/0!</v>
      </c>
      <c r="K75" s="37" t="e">
        <f t="shared" si="50"/>
        <v>#DIV/0!</v>
      </c>
      <c r="L75" s="37" t="e">
        <f t="shared" si="50"/>
        <v>#DIV/0!</v>
      </c>
      <c r="M75" s="37" t="e">
        <f t="shared" si="50"/>
        <v>#DIV/0!</v>
      </c>
      <c r="N75" s="37" t="e">
        <f t="shared" si="50"/>
        <v>#DIV/0!</v>
      </c>
      <c r="O75" s="6"/>
      <c r="P75" s="4">
        <f>+P73/P70</f>
        <v>0.49470326724726865</v>
      </c>
    </row>
    <row r="76" spans="1:18" x14ac:dyDescent="0.25">
      <c r="A76" s="3" t="s">
        <v>18</v>
      </c>
      <c r="B76" s="37" t="e">
        <f t="shared" ref="B76:H76" si="51">+B67/B70</f>
        <v>#DIV/0!</v>
      </c>
      <c r="C76" s="37">
        <f>+C67/C70</f>
        <v>0</v>
      </c>
      <c r="D76" s="37">
        <f t="shared" si="51"/>
        <v>0</v>
      </c>
      <c r="E76" s="37">
        <f t="shared" si="51"/>
        <v>0</v>
      </c>
      <c r="F76" s="37">
        <f t="shared" si="51"/>
        <v>0</v>
      </c>
      <c r="G76" s="37">
        <f t="shared" si="51"/>
        <v>0.92356567023783365</v>
      </c>
      <c r="H76" s="37" t="e">
        <f t="shared" si="51"/>
        <v>#DIV/0!</v>
      </c>
      <c r="I76" s="37" t="e">
        <f t="shared" ref="I76:N76" si="52">+I67/I70</f>
        <v>#DIV/0!</v>
      </c>
      <c r="J76" s="37" t="e">
        <f t="shared" si="52"/>
        <v>#DIV/0!</v>
      </c>
      <c r="K76" s="37" t="e">
        <f t="shared" si="52"/>
        <v>#DIV/0!</v>
      </c>
      <c r="L76" s="37" t="e">
        <f t="shared" si="52"/>
        <v>#DIV/0!</v>
      </c>
      <c r="M76" s="37" t="e">
        <f t="shared" si="52"/>
        <v>#DIV/0!</v>
      </c>
      <c r="N76" s="37" t="e">
        <f t="shared" si="52"/>
        <v>#DIV/0!</v>
      </c>
      <c r="O76" s="6"/>
      <c r="P76" s="4">
        <f>+P67/P70</f>
        <v>0.92356567023783365</v>
      </c>
    </row>
    <row r="77" spans="1:18" x14ac:dyDescent="0.25">
      <c r="A77" s="3" t="s">
        <v>19</v>
      </c>
      <c r="B77" s="37">
        <f t="shared" ref="B77:H77" si="53">+B70/$B$47</f>
        <v>0</v>
      </c>
      <c r="C77" s="37">
        <f>+C70/$B$47</f>
        <v>0.23512483722126651</v>
      </c>
      <c r="D77" s="37">
        <f t="shared" si="53"/>
        <v>0.26523839915154096</v>
      </c>
      <c r="E77" s="37">
        <f t="shared" si="53"/>
        <v>0.30750117185615983</v>
      </c>
      <c r="F77" s="37">
        <f t="shared" si="53"/>
        <v>0.28797768524621786</v>
      </c>
      <c r="G77" s="37">
        <f t="shared" si="53"/>
        <v>0.35430797244015361</v>
      </c>
      <c r="H77" s="37">
        <f t="shared" si="53"/>
        <v>0</v>
      </c>
      <c r="I77" s="177">
        <f t="shared" ref="I77:P77" si="54">+I70/$B$78</f>
        <v>0</v>
      </c>
      <c r="J77" s="177">
        <f t="shared" si="54"/>
        <v>0</v>
      </c>
      <c r="K77" s="177">
        <f t="shared" si="54"/>
        <v>0</v>
      </c>
      <c r="L77" s="177">
        <f t="shared" si="54"/>
        <v>0</v>
      </c>
      <c r="M77" s="177">
        <f t="shared" si="54"/>
        <v>0</v>
      </c>
      <c r="N77" s="177">
        <f t="shared" si="54"/>
        <v>0</v>
      </c>
      <c r="O77" s="248"/>
      <c r="P77" s="248">
        <f t="shared" si="54"/>
        <v>0.35409911709444536</v>
      </c>
    </row>
    <row r="78" spans="1:18" x14ac:dyDescent="0.25">
      <c r="A78" s="3" t="s">
        <v>20</v>
      </c>
      <c r="B78" s="37">
        <f>20*P74*1000</f>
        <v>19916.060000000001</v>
      </c>
      <c r="C78" s="37"/>
      <c r="D78" s="37"/>
      <c r="E78" s="37"/>
      <c r="F78" s="37"/>
      <c r="G78" s="36"/>
      <c r="H78" s="36"/>
      <c r="I78" s="36"/>
      <c r="J78" s="36"/>
      <c r="K78" s="37"/>
      <c r="L78" s="37"/>
      <c r="M78" s="37"/>
      <c r="N78" s="37"/>
      <c r="O78" s="37"/>
      <c r="P78" s="4"/>
    </row>
    <row r="79" spans="1:18" x14ac:dyDescent="0.25">
      <c r="B79" s="237">
        <f>B70/$B$78</f>
        <v>0</v>
      </c>
      <c r="C79" s="237">
        <f>C70/$B$78</f>
        <v>0.23498623723768655</v>
      </c>
      <c r="D79" s="237">
        <f t="shared" ref="D79:N79" si="55">D70/$B$78</f>
        <v>0.26508204800547897</v>
      </c>
      <c r="E79" s="237">
        <f t="shared" si="55"/>
        <v>0.30731990790347086</v>
      </c>
      <c r="F79" s="237">
        <f t="shared" si="55"/>
        <v>0.28780792988171355</v>
      </c>
      <c r="G79" s="237">
        <f t="shared" si="55"/>
        <v>0.35409911709444536</v>
      </c>
      <c r="H79" s="237">
        <f t="shared" si="55"/>
        <v>0</v>
      </c>
      <c r="I79" s="237">
        <f t="shared" si="55"/>
        <v>0</v>
      </c>
      <c r="J79" s="237">
        <f t="shared" si="55"/>
        <v>0</v>
      </c>
      <c r="K79" s="237">
        <f t="shared" si="55"/>
        <v>0</v>
      </c>
      <c r="L79" s="237">
        <f t="shared" si="55"/>
        <v>0</v>
      </c>
      <c r="M79" s="237">
        <f t="shared" si="55"/>
        <v>0</v>
      </c>
      <c r="N79" s="237">
        <f t="shared" si="55"/>
        <v>0</v>
      </c>
      <c r="O79" s="24"/>
    </row>
    <row r="80" spans="1:18" x14ac:dyDescent="0.25">
      <c r="B80" s="40"/>
      <c r="C80" s="40"/>
      <c r="D80" s="40"/>
      <c r="E80" s="40"/>
      <c r="F80" s="40"/>
      <c r="G80" s="24"/>
      <c r="H80" s="24"/>
      <c r="I80" s="24"/>
      <c r="J80" s="24"/>
      <c r="K80" s="24"/>
      <c r="L80" s="24"/>
      <c r="M80" s="24"/>
      <c r="N80" s="24"/>
      <c r="O80" s="24"/>
    </row>
    <row r="81" spans="1:16" x14ac:dyDescent="0.25">
      <c r="A81" s="15" t="s">
        <v>14</v>
      </c>
      <c r="B81" s="68"/>
      <c r="C81" s="68"/>
      <c r="D81" s="68"/>
      <c r="E81" s="68"/>
      <c r="F81" s="68"/>
      <c r="G81" s="69"/>
      <c r="H81" s="69"/>
      <c r="I81" s="69"/>
      <c r="J81" s="69"/>
      <c r="K81" s="57"/>
      <c r="L81" s="57"/>
      <c r="M81" s="57"/>
      <c r="N81" s="57"/>
      <c r="O81" s="57"/>
      <c r="P81" s="16"/>
    </row>
    <row r="82" spans="1:16" x14ac:dyDescent="0.25">
      <c r="A82" s="16" t="s">
        <v>11</v>
      </c>
      <c r="B82" s="63">
        <f t="shared" ref="B82:M82" si="56">+B39+B70</f>
        <v>0</v>
      </c>
      <c r="C82" s="63">
        <f>+C39+C70</f>
        <v>4680</v>
      </c>
      <c r="D82" s="63">
        <f t="shared" si="56"/>
        <v>5279.3899730000003</v>
      </c>
      <c r="E82" s="63">
        <f t="shared" si="56"/>
        <v>6120.6017250000004</v>
      </c>
      <c r="F82" s="63">
        <f t="shared" si="56"/>
        <v>5732</v>
      </c>
      <c r="G82" s="63">
        <f t="shared" si="56"/>
        <v>14973.257552999999</v>
      </c>
      <c r="H82" s="63">
        <f>+H39+H70</f>
        <v>0</v>
      </c>
      <c r="I82" s="63">
        <f t="shared" si="56"/>
        <v>0</v>
      </c>
      <c r="J82" s="63">
        <f t="shared" si="56"/>
        <v>0</v>
      </c>
      <c r="K82" s="63">
        <f t="shared" si="56"/>
        <v>0</v>
      </c>
      <c r="L82" s="63">
        <f t="shared" si="56"/>
        <v>0</v>
      </c>
      <c r="M82" s="63">
        <f t="shared" si="56"/>
        <v>0</v>
      </c>
      <c r="N82" s="63">
        <f>+N39+N70</f>
        <v>0</v>
      </c>
      <c r="O82" s="63"/>
      <c r="P82" s="45">
        <f>MAX(B82:N82)</f>
        <v>14973.257552999999</v>
      </c>
    </row>
    <row r="83" spans="1:16" x14ac:dyDescent="0.25">
      <c r="A83" s="16" t="s">
        <v>7</v>
      </c>
      <c r="B83" s="63">
        <f t="shared" ref="B83:M83" si="57">+B40+B71</f>
        <v>0</v>
      </c>
      <c r="C83" s="63">
        <f>+C40+C71</f>
        <v>1916689.8495090001</v>
      </c>
      <c r="D83" s="63">
        <f t="shared" si="57"/>
        <v>1902661.7520349999</v>
      </c>
      <c r="E83" s="63">
        <f t="shared" si="57"/>
        <v>2679432.0619870001</v>
      </c>
      <c r="F83" s="63">
        <f t="shared" si="57"/>
        <v>2850900.3092193604</v>
      </c>
      <c r="G83" s="63">
        <f t="shared" si="57"/>
        <v>6401555.8683169996</v>
      </c>
      <c r="H83" s="63">
        <f t="shared" si="57"/>
        <v>0</v>
      </c>
      <c r="I83" s="63">
        <f t="shared" si="57"/>
        <v>0</v>
      </c>
      <c r="J83" s="63">
        <f t="shared" si="57"/>
        <v>0</v>
      </c>
      <c r="K83" s="63">
        <f t="shared" si="57"/>
        <v>0</v>
      </c>
      <c r="L83" s="63">
        <f t="shared" si="57"/>
        <v>0</v>
      </c>
      <c r="M83" s="63">
        <f t="shared" si="57"/>
        <v>0</v>
      </c>
      <c r="N83" s="63">
        <f>+N40+N71</f>
        <v>0</v>
      </c>
      <c r="O83" s="63">
        <f>SUM(B83:N83)</f>
        <v>15751239.841067359</v>
      </c>
      <c r="P83" s="43"/>
    </row>
    <row r="84" spans="1:16" x14ac:dyDescent="0.25">
      <c r="B84" s="40"/>
      <c r="C84" s="40"/>
      <c r="D84" s="40"/>
      <c r="E84" s="40"/>
      <c r="F84" s="40"/>
      <c r="G84" s="24"/>
      <c r="H84" s="24"/>
      <c r="I84" s="24"/>
      <c r="J84" s="24"/>
      <c r="K84" s="24"/>
      <c r="L84" s="24"/>
      <c r="M84" s="24"/>
      <c r="N84" s="24"/>
      <c r="O84" s="24"/>
    </row>
    <row r="85" spans="1:16" x14ac:dyDescent="0.25">
      <c r="A85" s="12" t="s">
        <v>21</v>
      </c>
      <c r="B85" s="70"/>
      <c r="C85" s="70"/>
      <c r="D85" s="70"/>
      <c r="E85" s="70"/>
      <c r="F85" s="70"/>
      <c r="G85" s="71"/>
      <c r="H85" s="71"/>
      <c r="I85" s="71"/>
      <c r="J85" s="71"/>
      <c r="K85" s="56"/>
      <c r="L85" s="56"/>
      <c r="M85" s="56"/>
      <c r="N85" s="56"/>
      <c r="O85" s="56"/>
      <c r="P85" s="11"/>
    </row>
    <row r="86" spans="1:16" x14ac:dyDescent="0.25">
      <c r="A86" s="13" t="s">
        <v>6</v>
      </c>
      <c r="B86" s="49">
        <f>+B82*0.95</f>
        <v>0</v>
      </c>
      <c r="C86" s="49">
        <f>+C82*0.935</f>
        <v>4375.8</v>
      </c>
      <c r="D86" s="49">
        <f>+D82*0.935</f>
        <v>4936.2296247550003</v>
      </c>
      <c r="E86" s="49">
        <f>+E82*0.98</f>
        <v>5998.1896905000003</v>
      </c>
      <c r="F86" s="49">
        <f>+F82*0.94</f>
        <v>5388.08</v>
      </c>
      <c r="G86" s="49">
        <f>+G82*0.97</f>
        <v>14524.059826409999</v>
      </c>
      <c r="H86" s="49">
        <f>+H82*0.933</f>
        <v>0</v>
      </c>
      <c r="I86" s="49">
        <f>+I82*0.97</f>
        <v>0</v>
      </c>
      <c r="J86" s="49">
        <f>+J82*0.95</f>
        <v>0</v>
      </c>
      <c r="K86" s="49">
        <f>+K82*0.94</f>
        <v>0</v>
      </c>
      <c r="L86" s="49">
        <f>+L82*0.94</f>
        <v>0</v>
      </c>
      <c r="M86" s="49">
        <f>+M82*0.96</f>
        <v>0</v>
      </c>
      <c r="N86" s="49">
        <f>+N82*0.935</f>
        <v>0</v>
      </c>
      <c r="O86" s="82"/>
      <c r="P86" s="44">
        <f>MAX(B86:N86)</f>
        <v>14524.059826409999</v>
      </c>
    </row>
    <row r="87" spans="1:16" x14ac:dyDescent="0.25">
      <c r="A87" s="14" t="s">
        <v>18</v>
      </c>
      <c r="B87" s="14" t="e">
        <f t="shared" ref="B87:M87" si="58">+B82/B86</f>
        <v>#DIV/0!</v>
      </c>
      <c r="C87" s="14">
        <f>+C82/C86</f>
        <v>1.0695187165775402</v>
      </c>
      <c r="D87" s="14">
        <f t="shared" si="58"/>
        <v>1.0695187165775402</v>
      </c>
      <c r="E87" s="14">
        <f t="shared" si="58"/>
        <v>1.0204081632653061</v>
      </c>
      <c r="F87" s="14">
        <f t="shared" si="58"/>
        <v>1.0638297872340425</v>
      </c>
      <c r="G87" s="14">
        <f t="shared" si="58"/>
        <v>1.0309278350515465</v>
      </c>
      <c r="H87" s="14" t="e">
        <f t="shared" si="58"/>
        <v>#DIV/0!</v>
      </c>
      <c r="I87" s="14" t="e">
        <f t="shared" si="58"/>
        <v>#DIV/0!</v>
      </c>
      <c r="J87" s="14" t="e">
        <f>+J82/J86</f>
        <v>#DIV/0!</v>
      </c>
      <c r="K87" s="14" t="e">
        <f t="shared" si="58"/>
        <v>#DIV/0!</v>
      </c>
      <c r="L87" s="14" t="e">
        <f t="shared" si="58"/>
        <v>#DIV/0!</v>
      </c>
      <c r="M87" s="14" t="e">
        <f t="shared" si="58"/>
        <v>#DIV/0!</v>
      </c>
      <c r="N87" s="14" t="e">
        <f>+N82/N86</f>
        <v>#DIV/0!</v>
      </c>
      <c r="O87" s="61"/>
      <c r="P87" s="14">
        <f>+P82/P86</f>
        <v>1.0309278350515465</v>
      </c>
    </row>
    <row r="88" spans="1:16" x14ac:dyDescent="0.25">
      <c r="A88" s="33"/>
      <c r="B88" s="33"/>
      <c r="C88" s="33"/>
      <c r="D88" s="33"/>
      <c r="E88" s="33"/>
      <c r="F88" s="33"/>
      <c r="G88" s="33"/>
      <c r="H88" s="33"/>
      <c r="I88" s="33"/>
      <c r="J88" s="33"/>
      <c r="K88" s="33"/>
      <c r="L88" s="33"/>
      <c r="M88" s="33"/>
      <c r="N88" s="33"/>
      <c r="O88" s="64"/>
      <c r="P88" s="33"/>
    </row>
    <row r="89" spans="1:16" x14ac:dyDescent="0.25">
      <c r="A89" s="33"/>
      <c r="B89" s="33"/>
      <c r="C89" s="33"/>
      <c r="D89" s="33"/>
      <c r="E89" s="33"/>
      <c r="F89" s="61" t="s">
        <v>160</v>
      </c>
      <c r="G89" s="145">
        <f>P51+P58</f>
        <v>6513.2245519999997</v>
      </c>
      <c r="H89" s="33"/>
      <c r="I89" s="61" t="s">
        <v>160</v>
      </c>
      <c r="J89" s="145">
        <f>P27+P13+P20</f>
        <v>6038.7749830000002</v>
      </c>
      <c r="K89" s="33"/>
      <c r="L89" s="61" t="s">
        <v>329</v>
      </c>
      <c r="M89" s="145">
        <f>P82</f>
        <v>14973.257552999999</v>
      </c>
      <c r="N89" s="33"/>
      <c r="O89" s="231">
        <f>G89+J89</f>
        <v>12551.999534999999</v>
      </c>
      <c r="P89" s="33"/>
    </row>
    <row r="90" spans="1:16" x14ac:dyDescent="0.25">
      <c r="A90" s="33"/>
      <c r="B90" s="33"/>
      <c r="C90" s="33"/>
      <c r="D90" s="33"/>
      <c r="E90" s="33"/>
      <c r="F90" s="160" t="s">
        <v>348</v>
      </c>
      <c r="G90" s="145">
        <f>P70</f>
        <v>7052.2592619999996</v>
      </c>
      <c r="I90" s="160" t="s">
        <v>349</v>
      </c>
      <c r="J90" s="145">
        <f>P39</f>
        <v>7920.9982909999999</v>
      </c>
      <c r="K90" s="33"/>
      <c r="L90" s="61" t="s">
        <v>171</v>
      </c>
      <c r="M90" s="145">
        <f>P86</f>
        <v>14524.059826409999</v>
      </c>
      <c r="N90" s="33"/>
      <c r="O90" s="232">
        <f>G90+J90</f>
        <v>14973.257552999999</v>
      </c>
      <c r="P90" s="33"/>
    </row>
    <row r="91" spans="1:16" x14ac:dyDescent="0.25">
      <c r="F91" s="146" t="s">
        <v>162</v>
      </c>
      <c r="G91" s="147">
        <f>G89/G90</f>
        <v>0.92356567023783365</v>
      </c>
      <c r="I91" s="146" t="s">
        <v>162</v>
      </c>
      <c r="J91" s="147">
        <f>J89/J90</f>
        <v>0.76237549373812896</v>
      </c>
      <c r="L91" s="146" t="s">
        <v>162</v>
      </c>
      <c r="M91" s="147">
        <f>M89/M90</f>
        <v>1.0309278350515465</v>
      </c>
      <c r="O91" s="242">
        <f>O89/O90</f>
        <v>0.8382945054254487</v>
      </c>
    </row>
    <row r="93" spans="1:16" x14ac:dyDescent="0.25">
      <c r="B93" s="39">
        <f>B36+B67</f>
        <v>0</v>
      </c>
      <c r="C93" s="39">
        <f t="shared" ref="C93:M93" si="59">C36+C67</f>
        <v>0</v>
      </c>
      <c r="D93" s="39">
        <f t="shared" si="59"/>
        <v>0</v>
      </c>
      <c r="E93" s="39">
        <f t="shared" si="59"/>
        <v>0</v>
      </c>
      <c r="F93" s="39">
        <f t="shared" si="59"/>
        <v>0</v>
      </c>
      <c r="G93" s="39">
        <f t="shared" si="59"/>
        <v>12549.999534999999</v>
      </c>
      <c r="H93" s="39">
        <f t="shared" si="59"/>
        <v>0</v>
      </c>
      <c r="I93" s="39">
        <f t="shared" si="59"/>
        <v>0</v>
      </c>
      <c r="J93" s="39">
        <f t="shared" si="59"/>
        <v>0</v>
      </c>
      <c r="K93" s="39">
        <f t="shared" si="59"/>
        <v>0</v>
      </c>
      <c r="L93" s="39">
        <f t="shared" si="59"/>
        <v>0</v>
      </c>
      <c r="M93" s="39">
        <f t="shared" si="59"/>
        <v>0</v>
      </c>
      <c r="N93" s="39">
        <f>N36+N67</f>
        <v>0</v>
      </c>
    </row>
    <row r="94" spans="1:16" x14ac:dyDescent="0.25">
      <c r="B94" s="39">
        <f>B39+B70</f>
        <v>0</v>
      </c>
      <c r="C94" s="39">
        <f t="shared" ref="C94:M94" si="60">C39+C70</f>
        <v>4680</v>
      </c>
      <c r="D94" s="39">
        <f t="shared" si="60"/>
        <v>5279.3899730000003</v>
      </c>
      <c r="E94" s="39">
        <f t="shared" si="60"/>
        <v>6120.6017250000004</v>
      </c>
      <c r="F94" s="39">
        <f t="shared" si="60"/>
        <v>5732</v>
      </c>
      <c r="G94" s="39">
        <f t="shared" si="60"/>
        <v>14973.257552999999</v>
      </c>
      <c r="H94" s="39">
        <f t="shared" si="60"/>
        <v>0</v>
      </c>
      <c r="I94" s="39">
        <f t="shared" si="60"/>
        <v>0</v>
      </c>
      <c r="J94" s="39">
        <f t="shared" si="60"/>
        <v>0</v>
      </c>
      <c r="K94" s="39">
        <f t="shared" si="60"/>
        <v>0</v>
      </c>
      <c r="L94" s="39">
        <f t="shared" si="60"/>
        <v>0</v>
      </c>
      <c r="M94" s="39">
        <f t="shared" si="60"/>
        <v>0</v>
      </c>
      <c r="N94" s="39">
        <f>N39+N70</f>
        <v>0</v>
      </c>
    </row>
    <row r="95" spans="1:16" x14ac:dyDescent="0.25">
      <c r="A95" t="s">
        <v>351</v>
      </c>
      <c r="B95" s="242" t="e">
        <f>B93/B94</f>
        <v>#DIV/0!</v>
      </c>
      <c r="C95" s="242">
        <f>C93/C94</f>
        <v>0</v>
      </c>
      <c r="D95" s="242">
        <f t="shared" ref="D95:N95" si="61">D93/D94</f>
        <v>0</v>
      </c>
      <c r="E95" s="242">
        <f t="shared" si="61"/>
        <v>0</v>
      </c>
      <c r="F95" s="242">
        <f t="shared" si="61"/>
        <v>0</v>
      </c>
      <c r="G95" s="242">
        <f t="shared" si="61"/>
        <v>0.83816093395692082</v>
      </c>
      <c r="H95" s="242" t="e">
        <f t="shared" si="61"/>
        <v>#DIV/0!</v>
      </c>
      <c r="I95" s="242" t="e">
        <f t="shared" si="61"/>
        <v>#DIV/0!</v>
      </c>
      <c r="J95" s="242" t="e">
        <f t="shared" si="61"/>
        <v>#DIV/0!</v>
      </c>
      <c r="K95" s="242" t="e">
        <f t="shared" si="61"/>
        <v>#DIV/0!</v>
      </c>
      <c r="L95" s="242" t="e">
        <f t="shared" si="61"/>
        <v>#DIV/0!</v>
      </c>
      <c r="M95" s="242" t="e">
        <f t="shared" si="61"/>
        <v>#DIV/0!</v>
      </c>
      <c r="N95" s="242" t="e">
        <f t="shared" si="61"/>
        <v>#DIV/0!</v>
      </c>
    </row>
    <row r="97" spans="1:1" x14ac:dyDescent="0.25">
      <c r="A97" s="271" t="s">
        <v>222</v>
      </c>
    </row>
    <row r="98" spans="1:1" x14ac:dyDescent="0.25">
      <c r="A98" t="s">
        <v>432</v>
      </c>
    </row>
    <row r="100" spans="1:1" x14ac:dyDescent="0.25">
      <c r="A100" s="271" t="s">
        <v>223</v>
      </c>
    </row>
    <row r="101" spans="1:1" x14ac:dyDescent="0.25">
      <c r="A101" t="s">
        <v>432</v>
      </c>
    </row>
  </sheetData>
  <mergeCells count="21">
    <mergeCell ref="A9:A10"/>
    <mergeCell ref="B9:B10"/>
    <mergeCell ref="D9:D10"/>
    <mergeCell ref="E9:E10"/>
    <mergeCell ref="G9:G10"/>
    <mergeCell ref="C9:C10"/>
    <mergeCell ref="N9:N10"/>
    <mergeCell ref="P9:P10"/>
    <mergeCell ref="K9:K10"/>
    <mergeCell ref="L9:L10"/>
    <mergeCell ref="M9:M10"/>
    <mergeCell ref="O9:O10"/>
    <mergeCell ref="E2:M2"/>
    <mergeCell ref="E3:M3"/>
    <mergeCell ref="E4:M4"/>
    <mergeCell ref="E5:M5"/>
    <mergeCell ref="F9:F10"/>
    <mergeCell ref="E6:M6"/>
    <mergeCell ref="H9:H10"/>
    <mergeCell ref="I9:I10"/>
    <mergeCell ref="J9:J10"/>
  </mergeCells>
  <phoneticPr fontId="5" type="noConversion"/>
  <printOptions horizontalCentered="1" verticalCentered="1"/>
  <pageMargins left="0.19685039370078741" right="0.19685039370078741" top="0.19685039370078741" bottom="0.19685039370078741" header="0" footer="0"/>
  <pageSetup scale="60" orientation="landscape" horizontalDpi="300" verticalDpi="300" r:id="rId1"/>
  <headerFooter alignWithMargins="0">
    <oddFooter>&amp;RElaboro: Departamento de Planeacion Campeche</oddFooter>
  </headerFooter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Hoja6">
    <tabColor theme="8" tint="0.59999389629810485"/>
    <pageSetUpPr fitToPage="1"/>
  </sheetPr>
  <dimension ref="A1:R108"/>
  <sheetViews>
    <sheetView zoomScale="110" zoomScaleNormal="110" zoomScaleSheetLayoutView="100" workbookViewId="0">
      <selection activeCell="B31" sqref="B31:N31"/>
    </sheetView>
  </sheetViews>
  <sheetFormatPr baseColWidth="10" defaultRowHeight="13.2" x14ac:dyDescent="0.25"/>
  <cols>
    <col min="1" max="1" width="14.109375" bestFit="1" customWidth="1"/>
    <col min="2" max="5" width="15.6640625" customWidth="1"/>
    <col min="6" max="6" width="17" customWidth="1"/>
    <col min="7" max="8" width="15.6640625" customWidth="1"/>
    <col min="9" max="9" width="17" customWidth="1"/>
    <col min="10" max="16" width="15.6640625" customWidth="1"/>
    <col min="18" max="18" width="11.6640625" bestFit="1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29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75"/>
      <c r="B11" s="74"/>
      <c r="C11" s="74"/>
      <c r="D11" s="74"/>
      <c r="E11" s="74"/>
      <c r="F11" s="74"/>
      <c r="G11" s="74"/>
      <c r="H11" s="74"/>
      <c r="I11" s="74"/>
      <c r="J11" s="74"/>
      <c r="K11" s="74"/>
      <c r="L11" s="74"/>
      <c r="M11" s="74"/>
      <c r="N11" s="74"/>
      <c r="O11" s="75"/>
      <c r="P11" s="75"/>
    </row>
    <row r="12" spans="1:16" s="24" customFormat="1" x14ac:dyDescent="0.25">
      <c r="A12" s="271" t="s">
        <v>226</v>
      </c>
      <c r="B12" s="266"/>
      <c r="C12" s="266"/>
      <c r="D12" s="266"/>
      <c r="E12" s="266"/>
      <c r="F12" s="266"/>
      <c r="G12" s="267"/>
      <c r="H12" s="268"/>
      <c r="I12" s="268"/>
      <c r="J12" s="268"/>
      <c r="K12" s="269"/>
      <c r="L12" s="269"/>
      <c r="M12" s="269"/>
      <c r="N12" s="269"/>
      <c r="O12" s="269"/>
      <c r="P12" s="269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7439.4366040000004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7439.4366040000004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3410091.4058070001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3410091.4058070001</v>
      </c>
      <c r="P14" s="43">
        <f>SUM(B14:N14)/(COUNTIF(B14:N14,"&gt;0"))</f>
        <v>3410091.4058070001</v>
      </c>
    </row>
    <row r="15" spans="1:16" x14ac:dyDescent="0.25">
      <c r="A15" s="3" t="s">
        <v>16</v>
      </c>
      <c r="B15" s="37" t="e">
        <f t="shared" ref="B15:N15" si="0">+((B13/B17)^2-(B13^2))^(0.5)</f>
        <v>#DIV/0!</v>
      </c>
      <c r="C15" s="37" t="e">
        <f t="shared" si="0"/>
        <v>#DIV/0!</v>
      </c>
      <c r="D15" s="37" t="e">
        <f t="shared" si="0"/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1610.1535366028315</v>
      </c>
      <c r="H15" s="37" t="e">
        <f t="shared" si="0"/>
        <v>#DIV/0!</v>
      </c>
      <c r="I15" s="37" t="e">
        <f t="shared" si="0"/>
        <v>#DIV/0!</v>
      </c>
      <c r="J15" s="37" t="e">
        <f t="shared" si="0"/>
        <v>#DIV/0!</v>
      </c>
      <c r="K15" s="37" t="e">
        <f t="shared" si="0"/>
        <v>#DIV/0!</v>
      </c>
      <c r="L15" s="37" t="e">
        <f t="shared" si="0"/>
        <v>#DIV/0!</v>
      </c>
      <c r="M15" s="37" t="e">
        <f t="shared" si="0"/>
        <v>#DIV/0!</v>
      </c>
      <c r="N15" s="37" t="e">
        <f t="shared" si="0"/>
        <v>#DIV/0!</v>
      </c>
      <c r="O15" s="37"/>
      <c r="P15" s="4">
        <f>HLOOKUP(P13,B13:N15,3,FALSE)</f>
        <v>1610.1535366028315</v>
      </c>
    </row>
    <row r="16" spans="1:16" x14ac:dyDescent="0.25">
      <c r="A16" s="3" t="s">
        <v>8</v>
      </c>
      <c r="B16" s="37">
        <f t="shared" ref="B16:N16" si="1">+B14/(24*B$8)</f>
        <v>0</v>
      </c>
      <c r="C16" s="37">
        <f t="shared" si="1"/>
        <v>0</v>
      </c>
      <c r="D16" s="37">
        <f t="shared" si="1"/>
        <v>0</v>
      </c>
      <c r="E16" s="37">
        <f t="shared" si="1"/>
        <v>0</v>
      </c>
      <c r="F16" s="37">
        <f t="shared" si="1"/>
        <v>0</v>
      </c>
      <c r="G16" s="37">
        <f t="shared" si="1"/>
        <v>4583.4561906008066</v>
      </c>
      <c r="H16" s="37">
        <f t="shared" si="1"/>
        <v>0</v>
      </c>
      <c r="I16" s="37">
        <f t="shared" si="1"/>
        <v>0</v>
      </c>
      <c r="J16" s="37">
        <f t="shared" si="1"/>
        <v>0</v>
      </c>
      <c r="K16" s="37">
        <f t="shared" si="1"/>
        <v>0</v>
      </c>
      <c r="L16" s="37">
        <f t="shared" si="1"/>
        <v>0</v>
      </c>
      <c r="M16" s="37">
        <f t="shared" si="1"/>
        <v>0</v>
      </c>
      <c r="N16" s="37">
        <f t="shared" si="1"/>
        <v>0</v>
      </c>
      <c r="O16" s="6">
        <f>SUM(O14)/(24*O$8)</f>
        <v>389.27984084554794</v>
      </c>
      <c r="P16" s="4">
        <f>O14/(COUNTIF(B14:N14,"&gt;0")*720)</f>
        <v>4736.2380636208336</v>
      </c>
    </row>
    <row r="17" spans="1:16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0.97736999999999996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0.97736999999999996</v>
      </c>
    </row>
    <row r="18" spans="1:16" x14ac:dyDescent="0.25">
      <c r="A18" s="3" t="s">
        <v>17</v>
      </c>
      <c r="B18" s="37" t="e">
        <f t="shared" ref="B18:N18" si="2">+B16/B13</f>
        <v>#DIV/0!</v>
      </c>
      <c r="C18" s="37" t="e">
        <f t="shared" si="2"/>
        <v>#DIV/0!</v>
      </c>
      <c r="D18" s="37" t="e">
        <f t="shared" si="2"/>
        <v>#DIV/0!</v>
      </c>
      <c r="E18" s="37" t="e">
        <f t="shared" si="2"/>
        <v>#DIV/0!</v>
      </c>
      <c r="F18" s="37" t="e">
        <f t="shared" si="2"/>
        <v>#DIV/0!</v>
      </c>
      <c r="G18" s="37">
        <f t="shared" si="2"/>
        <v>0.61610259413144219</v>
      </c>
      <c r="H18" s="37" t="e">
        <f t="shared" si="2"/>
        <v>#DIV/0!</v>
      </c>
      <c r="I18" s="37" t="e">
        <f t="shared" si="2"/>
        <v>#DIV/0!</v>
      </c>
      <c r="J18" s="37" t="e">
        <f t="shared" si="2"/>
        <v>#DIV/0!</v>
      </c>
      <c r="K18" s="37" t="e">
        <f t="shared" si="2"/>
        <v>#DIV/0!</v>
      </c>
      <c r="L18" s="37" t="e">
        <f t="shared" si="2"/>
        <v>#DIV/0!</v>
      </c>
      <c r="M18" s="37" t="e">
        <f t="shared" si="2"/>
        <v>#DIV/0!</v>
      </c>
      <c r="N18" s="37" t="e">
        <f t="shared" si="2"/>
        <v>#DIV/0!</v>
      </c>
      <c r="O18" s="6"/>
      <c r="P18" s="4">
        <f>+P16/P13</f>
        <v>0.63663934726915694</v>
      </c>
    </row>
    <row r="19" spans="1:16" s="24" customFormat="1" x14ac:dyDescent="0.25">
      <c r="A19" s="271" t="s">
        <v>227</v>
      </c>
      <c r="B19" s="65"/>
      <c r="C19" s="65"/>
      <c r="D19" s="65"/>
      <c r="E19" s="65"/>
      <c r="F19" s="65"/>
      <c r="G19" s="66"/>
      <c r="H19" s="66"/>
      <c r="I19" s="66"/>
      <c r="J19" s="66"/>
      <c r="K19" s="50"/>
      <c r="L19" s="50"/>
      <c r="M19" s="50"/>
      <c r="N19" s="50"/>
      <c r="O19" s="50"/>
      <c r="P19" s="50"/>
    </row>
    <row r="20" spans="1:16" x14ac:dyDescent="0.25">
      <c r="A20" s="3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1310.712436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1310.712436</v>
      </c>
    </row>
    <row r="21" spans="1:16" x14ac:dyDescent="0.25">
      <c r="A21" s="3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542093.920606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542093.920606</v>
      </c>
      <c r="P21" s="43">
        <f>SUM(B21:N21)/(COUNTIF(B21:N21,"&gt;0"))</f>
        <v>542093.920606</v>
      </c>
    </row>
    <row r="22" spans="1:16" x14ac:dyDescent="0.25">
      <c r="A22" s="3" t="s">
        <v>16</v>
      </c>
      <c r="B22" s="37" t="e">
        <f>+((B20/B24)^2-(B20^2))^(0.5)</f>
        <v>#DIV/0!</v>
      </c>
      <c r="C22" s="37" t="e">
        <f>+((C20/C24)^2-(C20^2))^(0.5)</f>
        <v>#DIV/0!</v>
      </c>
      <c r="D22" s="37" t="e">
        <f t="shared" ref="D22:I22" si="3">+((D20/D24)^2-(D20^2))^(0.5)</f>
        <v>#DIV/0!</v>
      </c>
      <c r="E22" s="37" t="e">
        <f t="shared" si="3"/>
        <v>#DIV/0!</v>
      </c>
      <c r="F22" s="37" t="e">
        <f t="shared" si="3"/>
        <v>#DIV/0!</v>
      </c>
      <c r="G22" s="37">
        <f>+((G20/G24)^2-(G20^2))^(0.5)</f>
        <v>98.713401696053893</v>
      </c>
      <c r="H22" s="37" t="e">
        <f t="shared" si="3"/>
        <v>#DIV/0!</v>
      </c>
      <c r="I22" s="37" t="e">
        <f t="shared" si="3"/>
        <v>#DIV/0!</v>
      </c>
      <c r="J22" s="37" t="e">
        <f>+((J20/J24)^2-(J20^2))^(0.5)</f>
        <v>#DIV/0!</v>
      </c>
      <c r="K22" s="37" t="e">
        <f>+((K20/K24)^2-(K20^2))^(0.5)</f>
        <v>#DIV/0!</v>
      </c>
      <c r="L22" s="37" t="e">
        <f>+((L20/L24)^2-(L20^2))^(0.5)</f>
        <v>#DIV/0!</v>
      </c>
      <c r="M22" s="37" t="e">
        <f>+((M20/M24)^2-(M20^2))^(0.5)</f>
        <v>#DIV/0!</v>
      </c>
      <c r="N22" s="37" t="e">
        <f>+((N20/N24)^2-(N20^2))^(0.5)</f>
        <v>#DIV/0!</v>
      </c>
      <c r="O22" s="37"/>
      <c r="P22" s="4">
        <f>HLOOKUP(P20,B20:N22,3,FALSE)</f>
        <v>98.713401696053893</v>
      </c>
    </row>
    <row r="23" spans="1:16" x14ac:dyDescent="0.25">
      <c r="A23" s="3" t="s">
        <v>8</v>
      </c>
      <c r="B23" s="37">
        <f t="shared" ref="B23:N23" si="4">+B21/(24*B$8)</f>
        <v>0</v>
      </c>
      <c r="C23" s="37">
        <f t="shared" si="4"/>
        <v>0</v>
      </c>
      <c r="D23" s="37">
        <f t="shared" si="4"/>
        <v>0</v>
      </c>
      <c r="E23" s="37">
        <f t="shared" si="4"/>
        <v>0</v>
      </c>
      <c r="F23" s="37">
        <f t="shared" si="4"/>
        <v>0</v>
      </c>
      <c r="G23" s="37">
        <f t="shared" si="4"/>
        <v>728.62086102956994</v>
      </c>
      <c r="H23" s="37">
        <f t="shared" si="4"/>
        <v>0</v>
      </c>
      <c r="I23" s="37">
        <f t="shared" si="4"/>
        <v>0</v>
      </c>
      <c r="J23" s="37">
        <f t="shared" si="4"/>
        <v>0</v>
      </c>
      <c r="K23" s="37">
        <f t="shared" si="4"/>
        <v>0</v>
      </c>
      <c r="L23" s="37">
        <f t="shared" si="4"/>
        <v>0</v>
      </c>
      <c r="M23" s="37">
        <f t="shared" si="4"/>
        <v>0</v>
      </c>
      <c r="N23" s="37">
        <f t="shared" si="4"/>
        <v>0</v>
      </c>
      <c r="O23" s="6">
        <f>SUM(O21)/(24*O$8)</f>
        <v>61.882867649086755</v>
      </c>
      <c r="P23" s="4">
        <f>O21/(COUNTIF(B21:N21,"&gt;0")*720)</f>
        <v>752.90822306388884</v>
      </c>
    </row>
    <row r="24" spans="1:16" x14ac:dyDescent="0.25">
      <c r="A24" s="3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0.99717599999999995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0.99717599999999984</v>
      </c>
    </row>
    <row r="25" spans="1:16" x14ac:dyDescent="0.25">
      <c r="A25" s="3" t="s">
        <v>17</v>
      </c>
      <c r="B25" s="37" t="e">
        <f>+B23/B20</f>
        <v>#DIV/0!</v>
      </c>
      <c r="C25" s="37" t="e">
        <f>+C23/C20</f>
        <v>#DIV/0!</v>
      </c>
      <c r="D25" s="37" t="e">
        <f t="shared" ref="D25:I25" si="5">+D23/D20</f>
        <v>#DIV/0!</v>
      </c>
      <c r="E25" s="37" t="e">
        <f t="shared" si="5"/>
        <v>#DIV/0!</v>
      </c>
      <c r="F25" s="37" t="e">
        <f t="shared" si="5"/>
        <v>#DIV/0!</v>
      </c>
      <c r="G25" s="37">
        <f>+G23/G20</f>
        <v>0.55589680925982299</v>
      </c>
      <c r="H25" s="37" t="e">
        <f t="shared" si="5"/>
        <v>#DIV/0!</v>
      </c>
      <c r="I25" s="37" t="e">
        <f t="shared" si="5"/>
        <v>#DIV/0!</v>
      </c>
      <c r="J25" s="37" t="e">
        <f>+J23/J20</f>
        <v>#DIV/0!</v>
      </c>
      <c r="K25" s="37" t="e">
        <f>+K23/K20</f>
        <v>#DIV/0!</v>
      </c>
      <c r="L25" s="37" t="e">
        <f>+L23/L20</f>
        <v>#DIV/0!</v>
      </c>
      <c r="M25" s="37" t="e">
        <f>+M23/M20</f>
        <v>#DIV/0!</v>
      </c>
      <c r="N25" s="37" t="e">
        <f>+N23/N20</f>
        <v>#DIV/0!</v>
      </c>
      <c r="O25" s="6"/>
      <c r="P25" s="4">
        <f>+P23/P20</f>
        <v>0.57442670290181697</v>
      </c>
    </row>
    <row r="26" spans="1:16" s="24" customFormat="1" x14ac:dyDescent="0.25">
      <c r="A26" s="271" t="s">
        <v>228</v>
      </c>
      <c r="B26" s="65"/>
      <c r="C26" s="65"/>
      <c r="D26" s="65"/>
      <c r="E26" s="65"/>
      <c r="F26" s="65"/>
      <c r="G26" s="66"/>
      <c r="H26" s="66"/>
      <c r="I26" s="66"/>
      <c r="J26" s="66"/>
      <c r="K26" s="50"/>
      <c r="L26" s="50"/>
      <c r="M26" s="50"/>
      <c r="N26" s="50"/>
      <c r="O26" s="50"/>
      <c r="P26" s="50"/>
    </row>
    <row r="27" spans="1:16" x14ac:dyDescent="0.25">
      <c r="A27" s="3" t="s">
        <v>6</v>
      </c>
      <c r="B27" s="381" t="e">
        <f>VLOOKUP($A$26,TABLA_1[],5,FALSE)</f>
        <v>#N/A</v>
      </c>
      <c r="C27" s="381" t="e">
        <f>VLOOKUP($A$26,TABLA_2[],5,FALSE)</f>
        <v>#N/A</v>
      </c>
      <c r="D27" s="381" t="e">
        <f>VLOOKUP($A$26,TABLA_3[],5,FALSE)</f>
        <v>#N/A</v>
      </c>
      <c r="E27" s="381" t="e">
        <f>VLOOKUP($A$26,TABLA_4[],5,FALSE)</f>
        <v>#N/A</v>
      </c>
      <c r="F27" s="381" t="e">
        <f>VLOOKUP($A$26,TABLA_5[],5,FALSE)</f>
        <v>#N/A</v>
      </c>
      <c r="G27" s="381" t="e">
        <f>VLOOKUP($A$26,TABLA_6[],5,FALSE)</f>
        <v>#N/A</v>
      </c>
      <c r="H27" s="381" t="e">
        <f>VLOOKUP($A$26,TABLA_7[],5,FALSE)</f>
        <v>#N/A</v>
      </c>
      <c r="I27" s="381" t="e">
        <f>VLOOKUP($A$26,TABLA_8[],5,FALSE)</f>
        <v>#N/A</v>
      </c>
      <c r="J27" s="381" t="e">
        <f>VLOOKUP($A$26,TABLA_9[],5,FALSE)</f>
        <v>#N/A</v>
      </c>
      <c r="K27" s="381" t="e">
        <f>VLOOKUP($A$26,TABLA_10[],5,FALSE)</f>
        <v>#N/A</v>
      </c>
      <c r="L27" s="381" t="e">
        <f>VLOOKUP($A$26,TABLA_11[],5,FALSE)</f>
        <v>#N/A</v>
      </c>
      <c r="M27" s="381" t="e">
        <f>VLOOKUP($A$26,TABLA_12[],5,FALSE)</f>
        <v>#N/A</v>
      </c>
      <c r="N27" s="381" t="e">
        <f>VLOOKUP($A$26,TABLA_13[],5,FALSE)</f>
        <v>#N/A</v>
      </c>
      <c r="O27" s="6"/>
      <c r="P27" s="43" t="e">
        <f>MAX(B27:N27)</f>
        <v>#N/A</v>
      </c>
    </row>
    <row r="28" spans="1:16" x14ac:dyDescent="0.25">
      <c r="A28" s="3" t="s">
        <v>7</v>
      </c>
      <c r="B28" s="382" t="e">
        <f>VLOOKUP($A$26,TABLA_1[],8,FALSE)</f>
        <v>#N/A</v>
      </c>
      <c r="C28" s="382" t="e">
        <f>VLOOKUP($A$26,TABLA_2[],8,FALSE)</f>
        <v>#N/A</v>
      </c>
      <c r="D28" s="382" t="e">
        <f>VLOOKUP($A$26,TABLA_3[],8,FALSE)</f>
        <v>#N/A</v>
      </c>
      <c r="E28" s="382" t="e">
        <f>VLOOKUP($A$26,TABLA_4[],8,FALSE)</f>
        <v>#N/A</v>
      </c>
      <c r="F28" s="382" t="e">
        <f>VLOOKUP($A$26,TABLA_5[],8,FALSE)</f>
        <v>#N/A</v>
      </c>
      <c r="G28" s="382" t="e">
        <f>VLOOKUP($A$26,TABLA_6[],8,FALSE)</f>
        <v>#N/A</v>
      </c>
      <c r="H28" s="382" t="e">
        <f>VLOOKUP($A$26,TABLA_7[],8,FALSE)</f>
        <v>#N/A</v>
      </c>
      <c r="I28" s="382" t="e">
        <f>VLOOKUP($A$26,TABLA_8[],8,FALSE)</f>
        <v>#N/A</v>
      </c>
      <c r="J28" s="382" t="e">
        <f>VLOOKUP($A$26,TABLA_9[],8,FALSE)</f>
        <v>#N/A</v>
      </c>
      <c r="K28" s="382" t="e">
        <f>VLOOKUP($A$26,TABLA_10[],8,FALSE)</f>
        <v>#N/A</v>
      </c>
      <c r="L28" s="382" t="e">
        <f>VLOOKUP($A$26,TABLA_11[],8,FALSE)</f>
        <v>#N/A</v>
      </c>
      <c r="M28" s="382" t="e">
        <f>VLOOKUP($A$26,TABLA_12[],8,FALSE)</f>
        <v>#N/A</v>
      </c>
      <c r="N28" s="382" t="e">
        <f>VLOOKUP($A$26,TABLA_13[],8,FALSE)</f>
        <v>#N/A</v>
      </c>
      <c r="O28" s="47" t="e">
        <f>SUM(B28:N28)</f>
        <v>#N/A</v>
      </c>
      <c r="P28" s="43" t="e">
        <f>SUM(B28:N28)/(COUNTIF(B28:N28,"&gt;0"))</f>
        <v>#N/A</v>
      </c>
    </row>
    <row r="29" spans="1:16" x14ac:dyDescent="0.25">
      <c r="A29" s="3" t="s">
        <v>16</v>
      </c>
      <c r="B29" s="37" t="e">
        <f t="shared" ref="B29:I29" si="6">+((B27/B31)^2-(B27^2))^(0.5)</f>
        <v>#N/A</v>
      </c>
      <c r="C29" s="37" t="e">
        <f>+((C27/C31)^2-(C27^2))^(0.5)</f>
        <v>#N/A</v>
      </c>
      <c r="D29" s="37" t="e">
        <f t="shared" si="6"/>
        <v>#N/A</v>
      </c>
      <c r="E29" s="37" t="e">
        <f t="shared" si="6"/>
        <v>#N/A</v>
      </c>
      <c r="F29" s="37" t="e">
        <f t="shared" si="6"/>
        <v>#N/A</v>
      </c>
      <c r="G29" s="37" t="e">
        <f t="shared" si="6"/>
        <v>#N/A</v>
      </c>
      <c r="H29" s="37" t="e">
        <f t="shared" si="6"/>
        <v>#N/A</v>
      </c>
      <c r="I29" s="37" t="e">
        <f t="shared" si="6"/>
        <v>#N/A</v>
      </c>
      <c r="J29" s="37" t="e">
        <f>+((J27/J31)^2-(J27^2))^(0.5)</f>
        <v>#N/A</v>
      </c>
      <c r="K29" s="37" t="e">
        <f>+((K27/K31)^2-(K27^2))^(0.5)</f>
        <v>#N/A</v>
      </c>
      <c r="L29" s="37" t="e">
        <f>+((L27/L31)^2-(L27^2))^(0.5)</f>
        <v>#N/A</v>
      </c>
      <c r="M29" s="37" t="e">
        <f>+((M27/M31)^2-(M27^2))^(0.5)</f>
        <v>#N/A</v>
      </c>
      <c r="N29" s="37" t="e">
        <f>+((N27/N31)^2-(N27^2))^(0.5)</f>
        <v>#N/A</v>
      </c>
      <c r="O29" s="37"/>
      <c r="P29" s="4" t="e">
        <f>HLOOKUP(P27,B27:N29,3,FALSE)</f>
        <v>#N/A</v>
      </c>
    </row>
    <row r="30" spans="1:16" x14ac:dyDescent="0.25">
      <c r="A30" s="3" t="s">
        <v>8</v>
      </c>
      <c r="B30" s="37" t="e">
        <f t="shared" ref="B30:N30" si="7">+B28/(24*B$8)</f>
        <v>#N/A</v>
      </c>
      <c r="C30" s="37" t="e">
        <f t="shared" si="7"/>
        <v>#N/A</v>
      </c>
      <c r="D30" s="37" t="e">
        <f t="shared" si="7"/>
        <v>#N/A</v>
      </c>
      <c r="E30" s="37" t="e">
        <f t="shared" si="7"/>
        <v>#N/A</v>
      </c>
      <c r="F30" s="37" t="e">
        <f t="shared" si="7"/>
        <v>#N/A</v>
      </c>
      <c r="G30" s="37" t="e">
        <f t="shared" si="7"/>
        <v>#N/A</v>
      </c>
      <c r="H30" s="37" t="e">
        <f t="shared" si="7"/>
        <v>#N/A</v>
      </c>
      <c r="I30" s="37" t="e">
        <f t="shared" si="7"/>
        <v>#N/A</v>
      </c>
      <c r="J30" s="37" t="e">
        <f t="shared" si="7"/>
        <v>#N/A</v>
      </c>
      <c r="K30" s="37" t="e">
        <f t="shared" si="7"/>
        <v>#N/A</v>
      </c>
      <c r="L30" s="37" t="e">
        <f t="shared" si="7"/>
        <v>#N/A</v>
      </c>
      <c r="M30" s="37" t="e">
        <f t="shared" si="7"/>
        <v>#N/A</v>
      </c>
      <c r="N30" s="37" t="e">
        <f t="shared" si="7"/>
        <v>#N/A</v>
      </c>
      <c r="O30" s="6" t="e">
        <f>SUM(O28)/(24*O$8)</f>
        <v>#N/A</v>
      </c>
      <c r="P30" s="4" t="e">
        <f>O28/(COUNTIF(B28:N28,"&gt;0")*720)</f>
        <v>#N/A</v>
      </c>
    </row>
    <row r="31" spans="1:16" x14ac:dyDescent="0.25">
      <c r="A31" s="3" t="s">
        <v>9</v>
      </c>
      <c r="B31" s="383" t="e">
        <f>VLOOKUP($A$26,TABLA_1[],10,FALSE)</f>
        <v>#N/A</v>
      </c>
      <c r="C31" s="383" t="e">
        <f>VLOOKUP($A$26,TABLA_2[],10,FALSE)</f>
        <v>#N/A</v>
      </c>
      <c r="D31" s="383" t="e">
        <f>VLOOKUP($A$26,TABLA_3[],10,FALSE)</f>
        <v>#N/A</v>
      </c>
      <c r="E31" s="383" t="e">
        <f>VLOOKUP($A$26,TABLA_4[],10,FALSE)</f>
        <v>#N/A</v>
      </c>
      <c r="F31" s="383" t="e">
        <f>VLOOKUP($A$26,TABLA_5[],10,FALSE)</f>
        <v>#N/A</v>
      </c>
      <c r="G31" s="383" t="e">
        <f>VLOOKUP($A$26,TABLA_6[],10,FALSE)</f>
        <v>#N/A</v>
      </c>
      <c r="H31" s="383" t="e">
        <f>VLOOKUP($A$26,TABLA_7[],10,FALSE)</f>
        <v>#N/A</v>
      </c>
      <c r="I31" s="383" t="e">
        <f>VLOOKUP($A$26,TABLA_8[],10,FALSE)</f>
        <v>#N/A</v>
      </c>
      <c r="J31" s="383" t="e">
        <f>VLOOKUP($A$26,TABLA_9[],10,FALSE)</f>
        <v>#N/A</v>
      </c>
      <c r="K31" s="383" t="e">
        <f>VLOOKUP($A$26,TABLA_10[],10,FALSE)</f>
        <v>#N/A</v>
      </c>
      <c r="L31" s="383" t="e">
        <f>VLOOKUP($A$26,TABLA_11[],10,FALSE)</f>
        <v>#N/A</v>
      </c>
      <c r="M31" s="383" t="e">
        <f>VLOOKUP($A$26,TABLA_6[],10,FALSE)</f>
        <v>#N/A</v>
      </c>
      <c r="N31" s="383" t="e">
        <f>VLOOKUP($A$26,TABLA_6[],10,FALSE)</f>
        <v>#N/A</v>
      </c>
      <c r="O31" s="6"/>
      <c r="P31" s="4" t="e">
        <f>COS(ATAN(P29/P27))</f>
        <v>#N/A</v>
      </c>
    </row>
    <row r="32" spans="1:16" x14ac:dyDescent="0.25">
      <c r="A32" s="3" t="s">
        <v>17</v>
      </c>
      <c r="B32" s="37" t="e">
        <f t="shared" ref="B32:I32" si="8">+B30/B27</f>
        <v>#N/A</v>
      </c>
      <c r="C32" s="37" t="e">
        <f>+C30/C27</f>
        <v>#N/A</v>
      </c>
      <c r="D32" s="37" t="e">
        <f t="shared" si="8"/>
        <v>#N/A</v>
      </c>
      <c r="E32" s="37" t="e">
        <f t="shared" si="8"/>
        <v>#N/A</v>
      </c>
      <c r="F32" s="37" t="e">
        <f t="shared" si="8"/>
        <v>#N/A</v>
      </c>
      <c r="G32" s="37" t="e">
        <f t="shared" si="8"/>
        <v>#N/A</v>
      </c>
      <c r="H32" s="37" t="e">
        <f t="shared" si="8"/>
        <v>#N/A</v>
      </c>
      <c r="I32" s="37" t="e">
        <f t="shared" si="8"/>
        <v>#N/A</v>
      </c>
      <c r="J32" s="37" t="e">
        <f>+J30/J27</f>
        <v>#N/A</v>
      </c>
      <c r="K32" s="37" t="e">
        <f>+K30/K27</f>
        <v>#N/A</v>
      </c>
      <c r="L32" s="37" t="e">
        <f>+L30/L27</f>
        <v>#N/A</v>
      </c>
      <c r="M32" s="37" t="e">
        <f>+M30/M27</f>
        <v>#N/A</v>
      </c>
      <c r="N32" s="37" t="e">
        <f>+N30/N27</f>
        <v>#N/A</v>
      </c>
      <c r="O32" s="6"/>
      <c r="P32" s="4" t="e">
        <f>+P30/P27</f>
        <v>#N/A</v>
      </c>
    </row>
    <row r="33" spans="1:18" x14ac:dyDescent="0.25">
      <c r="A33" s="48"/>
      <c r="B33" s="91"/>
      <c r="C33" s="91"/>
      <c r="D33" s="91"/>
      <c r="E33" s="91"/>
      <c r="F33" s="91"/>
      <c r="G33" s="64"/>
      <c r="H33" s="64"/>
      <c r="I33" s="64"/>
      <c r="J33" s="64"/>
      <c r="K33" s="64"/>
      <c r="L33" s="64"/>
      <c r="M33" s="64"/>
      <c r="N33" s="64"/>
      <c r="O33" s="64"/>
      <c r="P33" s="48"/>
    </row>
    <row r="34" spans="1:18" x14ac:dyDescent="0.25">
      <c r="A34" s="48"/>
      <c r="B34" s="91"/>
      <c r="C34" s="91"/>
      <c r="D34" s="91"/>
      <c r="E34" s="91"/>
      <c r="F34" s="91"/>
      <c r="G34" s="64"/>
      <c r="H34" s="64"/>
      <c r="I34" s="64"/>
      <c r="J34" s="64"/>
      <c r="K34" s="64"/>
      <c r="L34" s="64"/>
      <c r="M34" s="64"/>
      <c r="N34" s="64"/>
      <c r="O34" s="64"/>
      <c r="P34" s="48"/>
    </row>
    <row r="35" spans="1:18" x14ac:dyDescent="0.25">
      <c r="A35" s="7" t="s">
        <v>10</v>
      </c>
      <c r="B35" s="72"/>
      <c r="C35" s="72"/>
      <c r="D35" s="72"/>
      <c r="E35" s="72"/>
      <c r="F35" s="72"/>
      <c r="G35" s="73"/>
      <c r="H35" s="73"/>
      <c r="I35" s="73"/>
      <c r="J35" s="73"/>
      <c r="K35" s="73"/>
      <c r="L35" s="53"/>
      <c r="M35" s="53"/>
      <c r="N35" s="53"/>
      <c r="O35" s="53"/>
      <c r="P35" s="8"/>
    </row>
    <row r="36" spans="1:18" x14ac:dyDescent="0.25">
      <c r="A36" s="9" t="s">
        <v>11</v>
      </c>
      <c r="B36" s="62" t="e">
        <f t="shared" ref="B36:N36" si="9">B13+B20+B27</f>
        <v>#N/A</v>
      </c>
      <c r="C36" s="62" t="e">
        <f t="shared" si="9"/>
        <v>#N/A</v>
      </c>
      <c r="D36" s="62" t="e">
        <f t="shared" si="9"/>
        <v>#N/A</v>
      </c>
      <c r="E36" s="62" t="e">
        <f t="shared" si="9"/>
        <v>#N/A</v>
      </c>
      <c r="F36" s="62" t="e">
        <f t="shared" si="9"/>
        <v>#N/A</v>
      </c>
      <c r="G36" s="62" t="e">
        <f t="shared" si="9"/>
        <v>#N/A</v>
      </c>
      <c r="H36" s="62" t="e">
        <f t="shared" si="9"/>
        <v>#N/A</v>
      </c>
      <c r="I36" s="62" t="e">
        <f t="shared" si="9"/>
        <v>#N/A</v>
      </c>
      <c r="J36" s="62" t="e">
        <f t="shared" si="9"/>
        <v>#N/A</v>
      </c>
      <c r="K36" s="62" t="e">
        <f t="shared" si="9"/>
        <v>#N/A</v>
      </c>
      <c r="L36" s="62" t="e">
        <f t="shared" si="9"/>
        <v>#N/A</v>
      </c>
      <c r="M36" s="62" t="e">
        <f t="shared" si="9"/>
        <v>#N/A</v>
      </c>
      <c r="N36" s="62" t="e">
        <f t="shared" si="9"/>
        <v>#N/A</v>
      </c>
      <c r="O36" s="54"/>
      <c r="P36" s="10" t="e">
        <f>MAX(H36:N36)</f>
        <v>#N/A</v>
      </c>
    </row>
    <row r="37" spans="1:18" x14ac:dyDescent="0.25">
      <c r="A37" s="9" t="s">
        <v>7</v>
      </c>
      <c r="B37" s="62" t="e">
        <f t="shared" ref="B37:N37" si="10">B14+B21+B28</f>
        <v>#N/A</v>
      </c>
      <c r="C37" s="62" t="e">
        <f t="shared" si="10"/>
        <v>#N/A</v>
      </c>
      <c r="D37" s="62" t="e">
        <f t="shared" si="10"/>
        <v>#N/A</v>
      </c>
      <c r="E37" s="62" t="e">
        <f t="shared" si="10"/>
        <v>#N/A</v>
      </c>
      <c r="F37" s="62" t="e">
        <f t="shared" si="10"/>
        <v>#N/A</v>
      </c>
      <c r="G37" s="62" t="e">
        <f t="shared" si="10"/>
        <v>#N/A</v>
      </c>
      <c r="H37" s="62" t="e">
        <f t="shared" si="10"/>
        <v>#N/A</v>
      </c>
      <c r="I37" s="62" t="e">
        <f t="shared" si="10"/>
        <v>#N/A</v>
      </c>
      <c r="J37" s="62" t="e">
        <f t="shared" si="10"/>
        <v>#N/A</v>
      </c>
      <c r="K37" s="62" t="e">
        <f t="shared" si="10"/>
        <v>#N/A</v>
      </c>
      <c r="L37" s="62" t="e">
        <f t="shared" si="10"/>
        <v>#N/A</v>
      </c>
      <c r="M37" s="62" t="e">
        <f t="shared" si="10"/>
        <v>#N/A</v>
      </c>
      <c r="N37" s="62" t="e">
        <f t="shared" si="10"/>
        <v>#N/A</v>
      </c>
      <c r="O37" s="62" t="e">
        <f>SUM(B37:N37)</f>
        <v>#N/A</v>
      </c>
      <c r="P37" s="9"/>
    </row>
    <row r="38" spans="1:18" s="24" customFormat="1" x14ac:dyDescent="0.25">
      <c r="A38" s="272" t="s">
        <v>13</v>
      </c>
      <c r="B38" s="376" t="s">
        <v>481</v>
      </c>
      <c r="C38" s="37"/>
      <c r="D38" s="37"/>
      <c r="E38" s="37"/>
      <c r="F38" s="37"/>
      <c r="G38" s="36"/>
      <c r="H38" s="36"/>
      <c r="I38" s="36"/>
      <c r="J38" s="36"/>
      <c r="K38" s="36"/>
      <c r="L38" s="36"/>
      <c r="M38" s="36"/>
      <c r="N38" s="36"/>
      <c r="O38" s="36"/>
      <c r="P38" s="36"/>
    </row>
    <row r="39" spans="1:18" x14ac:dyDescent="0.25">
      <c r="A39" s="3" t="s">
        <v>6</v>
      </c>
      <c r="B39" s="380">
        <f>VLOOKUP($B$38,BancoTabla_1[],5,FALSE)</f>
        <v>0</v>
      </c>
      <c r="C39" s="380">
        <f>VLOOKUP($B$38,BancoTabla_2[],5,FALSE)</f>
        <v>0</v>
      </c>
      <c r="D39" s="380">
        <f>VLOOKUP($B$38,BancoTabla_3[],5,FALSE)</f>
        <v>0</v>
      </c>
      <c r="E39" s="380">
        <f>VLOOKUP($B$38,BancoTabla_4[],5,FALSE)</f>
        <v>0</v>
      </c>
      <c r="F39" s="380">
        <f>VLOOKUP($B$38,BancoTabla_5[],5,FALSE)</f>
        <v>0</v>
      </c>
      <c r="G39" s="380">
        <f>VLOOKUP($B$38,BancoTabla_6[],5,FALSE)</f>
        <v>11283.600097</v>
      </c>
      <c r="H39" s="380">
        <f>VLOOKUP($B$38,BancoTabla_7[],5,FALSE)</f>
        <v>0</v>
      </c>
      <c r="I39" s="380">
        <f>VLOOKUP($B$38,BancoTabla_8[],5,FALSE)</f>
        <v>0</v>
      </c>
      <c r="J39" s="380">
        <f>VLOOKUP($B$38,BancoTabla_9[],5,FALSE)</f>
        <v>0</v>
      </c>
      <c r="K39" s="380">
        <f>VLOOKUP($B$38,BancoTabla_10[],5,FALSE)</f>
        <v>0</v>
      </c>
      <c r="L39" s="380">
        <f>VLOOKUP($B$38,BancoTabla_11[],5,FALSE)</f>
        <v>0</v>
      </c>
      <c r="M39" s="380">
        <f>VLOOKUP($B$38,BancoTabla_12[],5,FALSE)</f>
        <v>0</v>
      </c>
      <c r="N39" s="380">
        <f>VLOOKUP($B$38,BancoTabla_13[],5,FALSE)</f>
        <v>0</v>
      </c>
      <c r="O39" s="79"/>
      <c r="P39" s="43">
        <f>MAX(B39:N39)</f>
        <v>11283.600097</v>
      </c>
      <c r="Q39" s="334">
        <f>P39/1000</f>
        <v>11.283600097000001</v>
      </c>
    </row>
    <row r="40" spans="1:18" x14ac:dyDescent="0.25">
      <c r="A40" s="3" t="s">
        <v>7</v>
      </c>
      <c r="B40" s="380">
        <f>VLOOKUP($B$38,BancoTabla_1[],8,FALSE)</f>
        <v>0</v>
      </c>
      <c r="C40" s="380">
        <f>VLOOKUP($B$38,BancoTabla_2[],8,FALSE)</f>
        <v>0</v>
      </c>
      <c r="D40" s="380">
        <f>VLOOKUP($B$38,BancoTabla_3[],8,FALSE)</f>
        <v>0</v>
      </c>
      <c r="E40" s="380">
        <f>VLOOKUP($B$38,BancoTabla_4[],8,FALSE)</f>
        <v>0</v>
      </c>
      <c r="F40" s="380">
        <f>VLOOKUP($B$38,BancoTabla_5[],8,FALSE)</f>
        <v>0</v>
      </c>
      <c r="G40" s="380">
        <f>VLOOKUP($B$38,BancoTabla_6[],8,FALSE)</f>
        <v>5612319.0738199996</v>
      </c>
      <c r="H40" s="380">
        <f>VLOOKUP($B$38,BancoTabla_7[],8,FALSE)</f>
        <v>0</v>
      </c>
      <c r="I40" s="380">
        <f>VLOOKUP($B$38,BancoTabla_8[],8,FALSE)</f>
        <v>0</v>
      </c>
      <c r="J40" s="380">
        <f>VLOOKUP($B$38,BancoTabla_9[],8,FALSE)</f>
        <v>0</v>
      </c>
      <c r="K40" s="380">
        <f>VLOOKUP($B$38,BancoTabla_10[],8,FALSE)</f>
        <v>0</v>
      </c>
      <c r="L40" s="380">
        <f>VLOOKUP($B$38,BancoTabla_11[],8,FALSE)</f>
        <v>0</v>
      </c>
      <c r="M40" s="380">
        <f>VLOOKUP($B$38,BancoTabla_12[],8,FALSE)</f>
        <v>0</v>
      </c>
      <c r="N40" s="380">
        <f>VLOOKUP($B$38,BancoTabla_13[],8,FALSE)</f>
        <v>0</v>
      </c>
      <c r="O40" s="47">
        <f>SUM(H40:N40)</f>
        <v>0</v>
      </c>
      <c r="P40" s="4" t="e">
        <f>SUM(H40:N40)/(COUNTIF(H40:N40,"&gt;0"))</f>
        <v>#DIV/0!</v>
      </c>
      <c r="R40" s="39"/>
    </row>
    <row r="41" spans="1:18" x14ac:dyDescent="0.25">
      <c r="A41" s="3" t="s">
        <v>16</v>
      </c>
      <c r="B41" s="37" t="e">
        <f t="shared" ref="B41:H41" si="11">+((B39/B43)^2-(B39^2))^(0.5)</f>
        <v>#DIV/0!</v>
      </c>
      <c r="C41" s="37" t="e">
        <f>+((C39/C43)^2-(C39^2))^(0.5)</f>
        <v>#DIV/0!</v>
      </c>
      <c r="D41" s="37" t="e">
        <f>+((D39/D43)^2-(D39^2))^(0.5)</f>
        <v>#DIV/0!</v>
      </c>
      <c r="E41" s="37" t="e">
        <f t="shared" si="11"/>
        <v>#DIV/0!</v>
      </c>
      <c r="F41" s="37" t="e">
        <f t="shared" si="11"/>
        <v>#DIV/0!</v>
      </c>
      <c r="G41" s="37">
        <f t="shared" si="11"/>
        <v>128.65910758878363</v>
      </c>
      <c r="H41" s="37" t="e">
        <f t="shared" si="11"/>
        <v>#DIV/0!</v>
      </c>
      <c r="I41" s="37" t="e">
        <f t="shared" ref="I41:N41" si="12">+((I39/I43)^2-(I39^2))^(0.5)</f>
        <v>#DIV/0!</v>
      </c>
      <c r="J41" s="37" t="e">
        <f t="shared" si="12"/>
        <v>#DIV/0!</v>
      </c>
      <c r="K41" s="37" t="e">
        <f t="shared" si="12"/>
        <v>#DIV/0!</v>
      </c>
      <c r="L41" s="37" t="e">
        <f t="shared" si="12"/>
        <v>#DIV/0!</v>
      </c>
      <c r="M41" s="37" t="e">
        <f t="shared" si="12"/>
        <v>#DIV/0!</v>
      </c>
      <c r="N41" s="37" t="e">
        <f t="shared" si="12"/>
        <v>#DIV/0!</v>
      </c>
      <c r="O41" s="37"/>
      <c r="P41" s="4">
        <f>HLOOKUP(P39,B39:N41,3,FALSE)</f>
        <v>128.65910758878363</v>
      </c>
    </row>
    <row r="42" spans="1:18" x14ac:dyDescent="0.25">
      <c r="A42" s="3" t="s">
        <v>8</v>
      </c>
      <c r="B42" s="37">
        <f t="shared" ref="B42:N42" si="13">+B40/(24*B$8)</f>
        <v>0</v>
      </c>
      <c r="C42" s="37">
        <f t="shared" si="13"/>
        <v>0</v>
      </c>
      <c r="D42" s="37">
        <f t="shared" si="13"/>
        <v>0</v>
      </c>
      <c r="E42" s="37">
        <f t="shared" si="13"/>
        <v>0</v>
      </c>
      <c r="F42" s="37">
        <f t="shared" si="13"/>
        <v>0</v>
      </c>
      <c r="G42" s="37">
        <f t="shared" si="13"/>
        <v>7543.4396153494617</v>
      </c>
      <c r="H42" s="37">
        <f t="shared" si="13"/>
        <v>0</v>
      </c>
      <c r="I42" s="37">
        <f t="shared" si="13"/>
        <v>0</v>
      </c>
      <c r="J42" s="37">
        <f t="shared" si="13"/>
        <v>0</v>
      </c>
      <c r="K42" s="37">
        <f t="shared" si="13"/>
        <v>0</v>
      </c>
      <c r="L42" s="37">
        <f t="shared" si="13"/>
        <v>0</v>
      </c>
      <c r="M42" s="37">
        <f t="shared" si="13"/>
        <v>0</v>
      </c>
      <c r="N42" s="37">
        <f t="shared" si="13"/>
        <v>0</v>
      </c>
      <c r="O42" s="6">
        <f>SUM(O40)/(24*O$8)</f>
        <v>0</v>
      </c>
      <c r="P42" s="4">
        <f>O40/(COUNTIF(B40:N40,"&gt;0")*720)</f>
        <v>0</v>
      </c>
    </row>
    <row r="43" spans="1:18" x14ac:dyDescent="0.25">
      <c r="A43" s="3" t="s">
        <v>9</v>
      </c>
      <c r="B43" s="380">
        <f>VLOOKUP($B$38,BancoTabla_1[],10,FALSE)</f>
        <v>0</v>
      </c>
      <c r="C43" s="380">
        <f>VLOOKUP($B$38,BancoTabla_2[],10,FALSE)</f>
        <v>0</v>
      </c>
      <c r="D43" s="380">
        <f>VLOOKUP($B$38,BancoTabla_3[],10,FALSE)</f>
        <v>0</v>
      </c>
      <c r="E43" s="380">
        <f>VLOOKUP($B$38,BancoTabla_4[],10,FALSE)</f>
        <v>0</v>
      </c>
      <c r="F43" s="380">
        <f>VLOOKUP($B$38,BancoTabla_5[],10,FALSE)</f>
        <v>0</v>
      </c>
      <c r="G43" s="380">
        <f>VLOOKUP($B$38,BancoTabla_6[],10,FALSE)</f>
        <v>0.99993500000000002</v>
      </c>
      <c r="H43" s="380">
        <f>VLOOKUP($B$38,BancoTabla_7[],10,FALSE)</f>
        <v>0</v>
      </c>
      <c r="I43" s="380">
        <f>VLOOKUP($B$38,BancoTabla_8[],10,FALSE)</f>
        <v>0</v>
      </c>
      <c r="J43" s="380">
        <f>VLOOKUP($B$38,BancoTabla_9[],10,FALSE)</f>
        <v>0</v>
      </c>
      <c r="K43" s="380">
        <f>VLOOKUP($B$38,BancoTabla_10[],10,FALSE)</f>
        <v>0</v>
      </c>
      <c r="L43" s="380">
        <f>VLOOKUP($B$38,BancoTabla_11[],10,FALSE)</f>
        <v>0</v>
      </c>
      <c r="M43" s="380">
        <f>VLOOKUP($B$38,BancoTabla_12[],10,FALSE)</f>
        <v>0</v>
      </c>
      <c r="N43" s="380">
        <f>VLOOKUP($B$38,BancoTabla_13[],10,FALSE)</f>
        <v>0</v>
      </c>
      <c r="O43" s="6"/>
      <c r="P43" s="4">
        <f>COS(ATAN(P41/P39))</f>
        <v>0.99993500000000013</v>
      </c>
    </row>
    <row r="44" spans="1:18" x14ac:dyDescent="0.25">
      <c r="A44" s="3" t="s">
        <v>17</v>
      </c>
      <c r="B44" s="37" t="e">
        <f t="shared" ref="B44:H44" si="14">+B42/B39</f>
        <v>#DIV/0!</v>
      </c>
      <c r="C44" s="37" t="e">
        <f>+C42/C39</f>
        <v>#DIV/0!</v>
      </c>
      <c r="D44" s="37" t="e">
        <f t="shared" si="14"/>
        <v>#DIV/0!</v>
      </c>
      <c r="E44" s="37" t="e">
        <f t="shared" si="14"/>
        <v>#DIV/0!</v>
      </c>
      <c r="F44" s="37" t="e">
        <f t="shared" si="14"/>
        <v>#DIV/0!</v>
      </c>
      <c r="G44" s="37">
        <f t="shared" si="14"/>
        <v>0.66853127995514972</v>
      </c>
      <c r="H44" s="37" t="e">
        <f t="shared" si="14"/>
        <v>#DIV/0!</v>
      </c>
      <c r="I44" s="37" t="e">
        <f t="shared" ref="I44:N44" si="15">+I42/I39</f>
        <v>#DIV/0!</v>
      </c>
      <c r="J44" s="37" t="e">
        <f t="shared" si="15"/>
        <v>#DIV/0!</v>
      </c>
      <c r="K44" s="37" t="e">
        <f t="shared" si="15"/>
        <v>#DIV/0!</v>
      </c>
      <c r="L44" s="37" t="e">
        <f t="shared" si="15"/>
        <v>#DIV/0!</v>
      </c>
      <c r="M44" s="37" t="e">
        <f t="shared" si="15"/>
        <v>#DIV/0!</v>
      </c>
      <c r="N44" s="37" t="e">
        <f t="shared" si="15"/>
        <v>#DIV/0!</v>
      </c>
      <c r="O44" s="6"/>
      <c r="P44" s="4">
        <f>+P42/P39</f>
        <v>0</v>
      </c>
    </row>
    <row r="45" spans="1:18" x14ac:dyDescent="0.25">
      <c r="A45" s="3" t="s">
        <v>18</v>
      </c>
      <c r="B45" s="37" t="e">
        <f t="shared" ref="B45:N45" si="16">+B36/B39</f>
        <v>#N/A</v>
      </c>
      <c r="C45" s="37" t="e">
        <f>+C36/C39</f>
        <v>#N/A</v>
      </c>
      <c r="D45" s="37" t="e">
        <f t="shared" si="16"/>
        <v>#N/A</v>
      </c>
      <c r="E45" s="37" t="e">
        <f>+E36/E39</f>
        <v>#N/A</v>
      </c>
      <c r="F45" s="37" t="e">
        <f t="shared" si="16"/>
        <v>#N/A</v>
      </c>
      <c r="G45" s="287" t="e">
        <f>+G36/G39</f>
        <v>#N/A</v>
      </c>
      <c r="H45" s="37" t="e">
        <f t="shared" si="16"/>
        <v>#N/A</v>
      </c>
      <c r="I45" s="37" t="e">
        <f t="shared" si="16"/>
        <v>#N/A</v>
      </c>
      <c r="J45" s="37" t="e">
        <f t="shared" si="16"/>
        <v>#N/A</v>
      </c>
      <c r="K45" s="37" t="e">
        <f t="shared" si="16"/>
        <v>#N/A</v>
      </c>
      <c r="L45" s="37" t="e">
        <f t="shared" si="16"/>
        <v>#N/A</v>
      </c>
      <c r="M45" s="37" t="e">
        <f t="shared" si="16"/>
        <v>#N/A</v>
      </c>
      <c r="N45" s="37" t="e">
        <f t="shared" si="16"/>
        <v>#N/A</v>
      </c>
      <c r="O45" s="6"/>
      <c r="P45" s="4" t="e">
        <f>+P36/P39</f>
        <v>#N/A</v>
      </c>
    </row>
    <row r="46" spans="1:18" x14ac:dyDescent="0.25">
      <c r="A46" s="3" t="s">
        <v>19</v>
      </c>
      <c r="B46" s="37">
        <f t="shared" ref="B46:H46" si="17">+B39/$B$47</f>
        <v>0</v>
      </c>
      <c r="C46" s="37">
        <f>+C39/$B$47</f>
        <v>0</v>
      </c>
      <c r="D46" s="37">
        <f t="shared" si="17"/>
        <v>0</v>
      </c>
      <c r="E46" s="37">
        <f t="shared" si="17"/>
        <v>0</v>
      </c>
      <c r="F46" s="37">
        <f t="shared" si="17"/>
        <v>0</v>
      </c>
      <c r="G46" s="37">
        <f t="shared" si="17"/>
        <v>0.56421667893413063</v>
      </c>
      <c r="H46" s="37">
        <f t="shared" si="17"/>
        <v>0</v>
      </c>
      <c r="I46" s="177">
        <f t="shared" ref="I46:N46" si="18">+I39/$B$47</f>
        <v>0</v>
      </c>
      <c r="J46" s="177">
        <f t="shared" si="18"/>
        <v>0</v>
      </c>
      <c r="K46" s="177">
        <f t="shared" si="18"/>
        <v>0</v>
      </c>
      <c r="L46" s="177">
        <f t="shared" si="18"/>
        <v>0</v>
      </c>
      <c r="M46" s="177">
        <f t="shared" si="18"/>
        <v>0</v>
      </c>
      <c r="N46" s="177">
        <f t="shared" si="18"/>
        <v>0</v>
      </c>
      <c r="O46" s="248"/>
      <c r="P46" s="248">
        <f>+P39/$B$47</f>
        <v>0.56421667893413063</v>
      </c>
    </row>
    <row r="47" spans="1:18" x14ac:dyDescent="0.25">
      <c r="A47" s="3" t="s">
        <v>20</v>
      </c>
      <c r="B47" s="37">
        <f>20*P43*1000</f>
        <v>19998.700000000004</v>
      </c>
      <c r="C47" s="37"/>
      <c r="D47" s="37"/>
      <c r="E47" s="37"/>
      <c r="F47" s="37"/>
      <c r="G47" s="37"/>
      <c r="H47" s="37"/>
      <c r="I47" s="37"/>
      <c r="J47" s="37"/>
      <c r="K47" s="37"/>
      <c r="L47" s="37"/>
      <c r="M47" s="37"/>
      <c r="N47" s="37"/>
      <c r="O47" s="37"/>
      <c r="P47" s="4"/>
    </row>
    <row r="48" spans="1:18" x14ac:dyDescent="0.25">
      <c r="A48" s="32"/>
      <c r="B48" s="237">
        <f>B39/$B$47</f>
        <v>0</v>
      </c>
      <c r="C48" s="237">
        <f>C39/$B$47</f>
        <v>0</v>
      </c>
      <c r="D48" s="237">
        <f t="shared" ref="D48:N48" si="19">D39/$B$47</f>
        <v>0</v>
      </c>
      <c r="E48" s="237">
        <f t="shared" si="19"/>
        <v>0</v>
      </c>
      <c r="F48" s="237">
        <f t="shared" si="19"/>
        <v>0</v>
      </c>
      <c r="G48" s="237">
        <f t="shared" si="19"/>
        <v>0.56421667893413063</v>
      </c>
      <c r="H48" s="237">
        <f t="shared" si="19"/>
        <v>0</v>
      </c>
      <c r="I48" s="237">
        <f t="shared" si="19"/>
        <v>0</v>
      </c>
      <c r="J48" s="237">
        <f t="shared" si="19"/>
        <v>0</v>
      </c>
      <c r="K48" s="237">
        <f t="shared" si="19"/>
        <v>0</v>
      </c>
      <c r="L48" s="237">
        <f t="shared" si="19"/>
        <v>0</v>
      </c>
      <c r="M48" s="237">
        <f t="shared" si="19"/>
        <v>0</v>
      </c>
      <c r="N48" s="237">
        <f t="shared" si="19"/>
        <v>0</v>
      </c>
      <c r="O48" s="35"/>
      <c r="P48" s="33"/>
    </row>
    <row r="49" spans="1:16" x14ac:dyDescent="0.25">
      <c r="A49" s="21"/>
      <c r="B49" s="22"/>
      <c r="C49" s="22"/>
      <c r="D49" s="22"/>
      <c r="E49" s="22"/>
      <c r="F49" s="22"/>
      <c r="G49" s="22"/>
      <c r="H49" s="22"/>
      <c r="I49" s="22"/>
      <c r="J49" s="23"/>
      <c r="K49" s="22"/>
      <c r="L49" s="22"/>
      <c r="M49" s="22"/>
      <c r="N49" s="22"/>
      <c r="O49" s="21"/>
      <c r="P49" s="21"/>
    </row>
    <row r="50" spans="1:16" s="24" customFormat="1" x14ac:dyDescent="0.25">
      <c r="A50" s="271" t="s">
        <v>229</v>
      </c>
      <c r="B50" s="262"/>
      <c r="C50" s="262"/>
      <c r="D50" s="262"/>
      <c r="E50" s="262"/>
      <c r="F50" s="65"/>
      <c r="G50" s="66"/>
      <c r="H50" s="66"/>
      <c r="I50" s="66"/>
      <c r="J50" s="66"/>
      <c r="K50" s="50"/>
      <c r="L50" s="50"/>
      <c r="M50" s="50"/>
      <c r="N50" s="50"/>
      <c r="O50" s="50"/>
      <c r="P50" s="50"/>
    </row>
    <row r="51" spans="1:16" x14ac:dyDescent="0.25">
      <c r="A51" s="3" t="s">
        <v>6</v>
      </c>
      <c r="B51" s="380">
        <f>VLOOKUP($A$50,TABLA_1[],5,FALSE)</f>
        <v>0</v>
      </c>
      <c r="C51" s="380">
        <f>VLOOKUP($A$50,TABLA_2[],5,FALSE)</f>
        <v>0</v>
      </c>
      <c r="D51" s="380">
        <f>VLOOKUP($A$50,TABLA_3[],5,FALSE)</f>
        <v>0</v>
      </c>
      <c r="E51" s="380">
        <f>VLOOKUP($A$50,TABLA_4[],5,FALSE)</f>
        <v>0</v>
      </c>
      <c r="F51" s="380">
        <f>VLOOKUP($A$50,TABLA_5[],5,FALSE)</f>
        <v>0</v>
      </c>
      <c r="G51" s="380">
        <f>VLOOKUP($A$50,TABLA_6[],5,FALSE)</f>
        <v>4025.0016679999999</v>
      </c>
      <c r="H51" s="380">
        <f>VLOOKUP($A$50,TABLA_7[],5,FALSE)</f>
        <v>0</v>
      </c>
      <c r="I51" s="380">
        <f>VLOOKUP($A$50,TABLA_8[],5,FALSE)</f>
        <v>0</v>
      </c>
      <c r="J51" s="380">
        <f>VLOOKUP($A$50,TABLA_9[],5,FALSE)</f>
        <v>0</v>
      </c>
      <c r="K51" s="380">
        <f>VLOOKUP($A$50,TABLA_10[],5,FALSE)</f>
        <v>0</v>
      </c>
      <c r="L51" s="380">
        <f>VLOOKUP($A$50,TABLA_11[],5,FALSE)</f>
        <v>0</v>
      </c>
      <c r="M51" s="380">
        <f>VLOOKUP($A$50,TABLA_12[],5,FALSE)</f>
        <v>0</v>
      </c>
      <c r="N51" s="380">
        <f>VLOOKUP($A$50,TABLA_13[],5,FALSE)</f>
        <v>0</v>
      </c>
      <c r="O51" s="6"/>
      <c r="P51" s="43">
        <f>MAX(B51:N51)</f>
        <v>4025.0016679999999</v>
      </c>
    </row>
    <row r="52" spans="1:16" x14ac:dyDescent="0.25">
      <c r="A52" s="3" t="s">
        <v>7</v>
      </c>
      <c r="B52" s="380">
        <f>VLOOKUP($A$50,TABLA_1[],8,FALSE)</f>
        <v>0</v>
      </c>
      <c r="C52" s="380">
        <f>VLOOKUP($A$50,TABLA_2[],8,FALSE)</f>
        <v>0</v>
      </c>
      <c r="D52" s="380">
        <f>VLOOKUP($A$50,TABLA_3[],8,FALSE)</f>
        <v>0</v>
      </c>
      <c r="E52" s="380">
        <f>VLOOKUP($A$50,TABLA_4[],8,FALSE)</f>
        <v>0</v>
      </c>
      <c r="F52" s="380">
        <f>VLOOKUP($A$50,TABLA_5[],8,FALSE)</f>
        <v>0</v>
      </c>
      <c r="G52" s="380">
        <f>VLOOKUP($A$50,TABLA_6[],8,FALSE)</f>
        <v>2123713.7484820001</v>
      </c>
      <c r="H52" s="380">
        <f>VLOOKUP($A$50,TABLA_7[],8,FALSE)</f>
        <v>0</v>
      </c>
      <c r="I52" s="380">
        <f>VLOOKUP($A$50,TABLA_8[],8,FALSE)</f>
        <v>0</v>
      </c>
      <c r="J52" s="380">
        <f>VLOOKUP($A$50,TABLA_9[],8,FALSE)</f>
        <v>0</v>
      </c>
      <c r="K52" s="380">
        <f>VLOOKUP($A$50,TABLA_10[],8,FALSE)</f>
        <v>0</v>
      </c>
      <c r="L52" s="380">
        <f>VLOOKUP($A$50,TABLA_11[],8,FALSE)</f>
        <v>0</v>
      </c>
      <c r="M52" s="380">
        <f>VLOOKUP($A$50,TABLA_12[],8,FALSE)</f>
        <v>0</v>
      </c>
      <c r="N52" s="380">
        <f>VLOOKUP($A$50,TABLA_13[],8,FALSE)</f>
        <v>0</v>
      </c>
      <c r="O52" s="47">
        <f>SUM(B52:N52)</f>
        <v>2123713.7484820001</v>
      </c>
      <c r="P52" s="43">
        <f>SUM(B52:N52)/(COUNTIF(B52:N52,"&gt;0"))</f>
        <v>2123713.7484820001</v>
      </c>
    </row>
    <row r="53" spans="1:16" x14ac:dyDescent="0.25">
      <c r="A53" s="3" t="s">
        <v>16</v>
      </c>
      <c r="B53" s="37" t="e">
        <f t="shared" ref="B53:I53" si="20">+((B51/B55)^2-(B51^2))^(0.5)</f>
        <v>#DIV/0!</v>
      </c>
      <c r="C53" s="37" t="e">
        <f>+((C51/C55)^2-(C51^2))^(0.5)</f>
        <v>#DIV/0!</v>
      </c>
      <c r="D53" s="37" t="e">
        <f t="shared" si="20"/>
        <v>#DIV/0!</v>
      </c>
      <c r="E53" s="37" t="e">
        <f t="shared" si="20"/>
        <v>#DIV/0!</v>
      </c>
      <c r="F53" s="37" t="e">
        <f t="shared" si="20"/>
        <v>#DIV/0!</v>
      </c>
      <c r="G53" s="37">
        <f t="shared" si="20"/>
        <v>585.12458800826869</v>
      </c>
      <c r="H53" s="37" t="e">
        <f t="shared" si="20"/>
        <v>#DIV/0!</v>
      </c>
      <c r="I53" s="37" t="e">
        <f t="shared" si="20"/>
        <v>#DIV/0!</v>
      </c>
      <c r="J53" s="37" t="e">
        <f>+((J51/J55)^2-(J51^2))^(0.5)</f>
        <v>#DIV/0!</v>
      </c>
      <c r="K53" s="37" t="e">
        <f>+((K51/K55)^2-(K51^2))^(0.5)</f>
        <v>#DIV/0!</v>
      </c>
      <c r="L53" s="37" t="e">
        <f>+((L51/L55)^2-(L51^2))^(0.5)</f>
        <v>#DIV/0!</v>
      </c>
      <c r="M53" s="37" t="e">
        <f>+((M51/M55)^2-(M51^2))^(0.5)</f>
        <v>#DIV/0!</v>
      </c>
      <c r="N53" s="37" t="e">
        <f>+((N51/N55)^2-(N51^2))^(0.5)</f>
        <v>#DIV/0!</v>
      </c>
      <c r="O53" s="37"/>
      <c r="P53" s="4">
        <f>HLOOKUP(P51,B51:N53,3,FALSE)</f>
        <v>585.12458800826869</v>
      </c>
    </row>
    <row r="54" spans="1:16" x14ac:dyDescent="0.25">
      <c r="A54" s="3" t="s">
        <v>8</v>
      </c>
      <c r="B54" s="37">
        <f t="shared" ref="B54:N54" si="21">+B52/(24*B$8)</f>
        <v>0</v>
      </c>
      <c r="C54" s="37">
        <f t="shared" si="21"/>
        <v>0</v>
      </c>
      <c r="D54" s="37">
        <f t="shared" si="21"/>
        <v>0</v>
      </c>
      <c r="E54" s="37">
        <f t="shared" si="21"/>
        <v>0</v>
      </c>
      <c r="F54" s="37">
        <f t="shared" si="21"/>
        <v>0</v>
      </c>
      <c r="G54" s="37">
        <f t="shared" si="21"/>
        <v>2854.4539630134409</v>
      </c>
      <c r="H54" s="37">
        <f t="shared" si="21"/>
        <v>0</v>
      </c>
      <c r="I54" s="37">
        <f t="shared" si="21"/>
        <v>0</v>
      </c>
      <c r="J54" s="37">
        <f t="shared" si="21"/>
        <v>0</v>
      </c>
      <c r="K54" s="37">
        <f t="shared" si="21"/>
        <v>0</v>
      </c>
      <c r="L54" s="37">
        <f t="shared" si="21"/>
        <v>0</v>
      </c>
      <c r="M54" s="37">
        <f t="shared" si="21"/>
        <v>0</v>
      </c>
      <c r="N54" s="37">
        <f t="shared" si="21"/>
        <v>0</v>
      </c>
      <c r="O54" s="6">
        <f>SUM(O52)/(24*O$8)</f>
        <v>242.4330763107306</v>
      </c>
      <c r="P54" s="4">
        <f>O52/(COUNTIF(B52:N52,"&gt;0")*720)</f>
        <v>2949.6024284472223</v>
      </c>
    </row>
    <row r="55" spans="1:16" x14ac:dyDescent="0.25">
      <c r="A55" s="3" t="s">
        <v>9</v>
      </c>
      <c r="B55" s="380">
        <f>VLOOKUP($A$50,TABLA_1[],10,FALSE)</f>
        <v>0</v>
      </c>
      <c r="C55" s="380">
        <f>VLOOKUP($A$50,TABLA_2[],10,FALSE)</f>
        <v>0</v>
      </c>
      <c r="D55" s="380">
        <f>VLOOKUP($A$50,TABLA_3[],10,FALSE)</f>
        <v>0</v>
      </c>
      <c r="E55" s="380">
        <f>VLOOKUP($A$50,TABLA_4[],10,FALSE)</f>
        <v>0</v>
      </c>
      <c r="F55" s="380">
        <f>VLOOKUP($A$50,TABLA_5[],10,FALSE)</f>
        <v>0</v>
      </c>
      <c r="G55" s="380">
        <f>VLOOKUP($A$50,TABLA_6[],10,FALSE)</f>
        <v>0.98959799999999998</v>
      </c>
      <c r="H55" s="380">
        <f>VLOOKUP($A$50,TABLA_7[],10,FALSE)</f>
        <v>0</v>
      </c>
      <c r="I55" s="380">
        <f>VLOOKUP($A$50,TABLA_8[],10,FALSE)</f>
        <v>0</v>
      </c>
      <c r="J55" s="380">
        <f>VLOOKUP($A$50,TABLA_9[],10,FALSE)</f>
        <v>0</v>
      </c>
      <c r="K55" s="380">
        <f>VLOOKUP($A$50,TABLA_10[],10,FALSE)</f>
        <v>0</v>
      </c>
      <c r="L55" s="380">
        <f>VLOOKUP($A$50,TABLA_11[],10,FALSE)</f>
        <v>0</v>
      </c>
      <c r="M55" s="380">
        <f>VLOOKUP($A$50,TABLA_12[],10,FALSE)</f>
        <v>0</v>
      </c>
      <c r="N55" s="380">
        <f>VLOOKUP($A$50,TABLA_13[],10,FALSE)</f>
        <v>0</v>
      </c>
      <c r="O55" s="6"/>
      <c r="P55" s="4">
        <f>COS(ATAN(P53/P51))</f>
        <v>0.98959799999999998</v>
      </c>
    </row>
    <row r="56" spans="1:16" x14ac:dyDescent="0.25">
      <c r="A56" s="3" t="s">
        <v>17</v>
      </c>
      <c r="B56" s="37" t="e">
        <f t="shared" ref="B56:I56" si="22">+B54/B51</f>
        <v>#DIV/0!</v>
      </c>
      <c r="C56" s="37" t="e">
        <f>+C54/C51</f>
        <v>#DIV/0!</v>
      </c>
      <c r="D56" s="37" t="e">
        <f t="shared" si="22"/>
        <v>#DIV/0!</v>
      </c>
      <c r="E56" s="37" t="e">
        <f t="shared" si="22"/>
        <v>#DIV/0!</v>
      </c>
      <c r="F56" s="37" t="e">
        <f t="shared" si="22"/>
        <v>#DIV/0!</v>
      </c>
      <c r="G56" s="37">
        <f t="shared" si="22"/>
        <v>0.70918081493163765</v>
      </c>
      <c r="H56" s="37" t="e">
        <f t="shared" si="22"/>
        <v>#DIV/0!</v>
      </c>
      <c r="I56" s="37" t="e">
        <f t="shared" si="22"/>
        <v>#DIV/0!</v>
      </c>
      <c r="J56" s="37" t="e">
        <f>+J54/J51</f>
        <v>#DIV/0!</v>
      </c>
      <c r="K56" s="37" t="e">
        <f>+K54/K51</f>
        <v>#DIV/0!</v>
      </c>
      <c r="L56" s="37" t="e">
        <f>+L54/L51</f>
        <v>#DIV/0!</v>
      </c>
      <c r="M56" s="37" t="e">
        <f>+M54/M51</f>
        <v>#DIV/0!</v>
      </c>
      <c r="N56" s="37" t="e">
        <f>+N54/N51</f>
        <v>#DIV/0!</v>
      </c>
      <c r="O56" s="6"/>
      <c r="P56" s="4">
        <f>+P54/P51</f>
        <v>0.73282017542935896</v>
      </c>
    </row>
    <row r="57" spans="1:16" s="24" customFormat="1" x14ac:dyDescent="0.25">
      <c r="A57" s="271" t="s">
        <v>230</v>
      </c>
      <c r="B57" s="65"/>
      <c r="C57" s="65"/>
      <c r="D57" s="65"/>
      <c r="E57" s="65"/>
      <c r="F57" s="65"/>
      <c r="G57" s="66"/>
      <c r="H57" s="66"/>
      <c r="I57" s="66"/>
      <c r="J57" s="66"/>
      <c r="K57" s="50"/>
      <c r="L57" s="50"/>
      <c r="M57" s="50"/>
      <c r="N57" s="50"/>
      <c r="O57" s="50"/>
      <c r="P57" s="50"/>
    </row>
    <row r="58" spans="1:16" x14ac:dyDescent="0.25">
      <c r="A58" s="3" t="s">
        <v>6</v>
      </c>
      <c r="B58" s="380">
        <f>VLOOKUP($A$57,TABLA_1[],5,FALSE)</f>
        <v>0</v>
      </c>
      <c r="C58" s="380">
        <f>VLOOKUP($A$57,TABLA_2[],5,FALSE)</f>
        <v>0</v>
      </c>
      <c r="D58" s="380">
        <f>VLOOKUP($A$57,TABLA_3[],5,FALSE)</f>
        <v>0</v>
      </c>
      <c r="E58" s="380">
        <f>VLOOKUP($A$57,TABLA_4[],5,FALSE)</f>
        <v>0</v>
      </c>
      <c r="F58" s="380">
        <f>VLOOKUP($A$57,TABLA_5[],5,FALSE)</f>
        <v>0</v>
      </c>
      <c r="G58" s="380">
        <f>VLOOKUP($A$57,TABLA_6[],5,FALSE)</f>
        <v>3437.8966869999999</v>
      </c>
      <c r="H58" s="380">
        <f>VLOOKUP($A$57,TABLA_7[],5,FALSE)</f>
        <v>0</v>
      </c>
      <c r="I58" s="380">
        <f>VLOOKUP($A$57,TABLA_8[],5,FALSE)</f>
        <v>0</v>
      </c>
      <c r="J58" s="380">
        <f>VLOOKUP($A$57,TABLA_9[],5,FALSE)</f>
        <v>0</v>
      </c>
      <c r="K58" s="380">
        <f>VLOOKUP($A$57,TABLA_10[],5,FALSE)</f>
        <v>0</v>
      </c>
      <c r="L58" s="380">
        <f>VLOOKUP($A$57,TABLA_11[],5,FALSE)</f>
        <v>0</v>
      </c>
      <c r="M58" s="380">
        <f>VLOOKUP($A$57,TABLA_12[],5,FALSE)</f>
        <v>0</v>
      </c>
      <c r="N58" s="380">
        <f>VLOOKUP($A$57,TABLA_13[],5,FALSE)</f>
        <v>0</v>
      </c>
      <c r="O58" s="6"/>
      <c r="P58" s="43">
        <f>MAX(B58:N58)</f>
        <v>3437.8966869999999</v>
      </c>
    </row>
    <row r="59" spans="1:16" x14ac:dyDescent="0.25">
      <c r="A59" s="3" t="s">
        <v>7</v>
      </c>
      <c r="B59" s="380">
        <f>VLOOKUP($A$57,TABLA_1[],8,FALSE)</f>
        <v>0</v>
      </c>
      <c r="C59" s="380">
        <f>VLOOKUP($A$57,TABLA_2[],8,FALSE)</f>
        <v>0</v>
      </c>
      <c r="D59" s="380">
        <f>VLOOKUP($A$57,TABLA_3[],8,FALSE)</f>
        <v>0</v>
      </c>
      <c r="E59" s="380">
        <f>VLOOKUP($A$57,TABLA_4[],8,FALSE)</f>
        <v>0</v>
      </c>
      <c r="F59" s="380">
        <f>VLOOKUP($A$57,TABLA_5[],8,FALSE)</f>
        <v>0</v>
      </c>
      <c r="G59" s="380">
        <f>VLOOKUP($A$57,TABLA_6[],8,FALSE)</f>
        <v>1793924.249631</v>
      </c>
      <c r="H59" s="380">
        <f>VLOOKUP($A$57,TABLA_7[],8,FALSE)</f>
        <v>0</v>
      </c>
      <c r="I59" s="380">
        <f>VLOOKUP($A$57,TABLA_8[],8,FALSE)</f>
        <v>0</v>
      </c>
      <c r="J59" s="380">
        <f>VLOOKUP($A$57,TABLA_9[],8,FALSE)</f>
        <v>0</v>
      </c>
      <c r="K59" s="380">
        <f>VLOOKUP($A$57,TABLA_10[],8,FALSE)</f>
        <v>0</v>
      </c>
      <c r="L59" s="380">
        <f>VLOOKUP($A$57,TABLA_11[],8,FALSE)</f>
        <v>0</v>
      </c>
      <c r="M59" s="380">
        <f>VLOOKUP($A$57,TABLA_12[],8,FALSE)</f>
        <v>0</v>
      </c>
      <c r="N59" s="380">
        <f>VLOOKUP($A$57,TABLA_13[],8,FALSE)</f>
        <v>0</v>
      </c>
      <c r="O59" s="47">
        <f>SUM(B59:N59)</f>
        <v>1793924.249631</v>
      </c>
      <c r="P59" s="43">
        <f>SUM(B59:N59)/(COUNTIF(B59:N59,"&gt;0"))</f>
        <v>1793924.249631</v>
      </c>
    </row>
    <row r="60" spans="1:16" x14ac:dyDescent="0.25">
      <c r="A60" s="3" t="s">
        <v>16</v>
      </c>
      <c r="B60" s="37" t="e">
        <f t="shared" ref="B60:I60" si="23">+((B58/B62)^2-(B58^2))^(0.5)</f>
        <v>#DIV/0!</v>
      </c>
      <c r="C60" s="37" t="e">
        <f>+((C58/C62)^2-(C58^2))^(0.5)</f>
        <v>#DIV/0!</v>
      </c>
      <c r="D60" s="37" t="e">
        <f t="shared" si="23"/>
        <v>#DIV/0!</v>
      </c>
      <c r="E60" s="37" t="e">
        <f t="shared" si="23"/>
        <v>#DIV/0!</v>
      </c>
      <c r="F60" s="37" t="e">
        <f t="shared" si="23"/>
        <v>#DIV/0!</v>
      </c>
      <c r="G60" s="37">
        <f t="shared" si="23"/>
        <v>75.803649958638132</v>
      </c>
      <c r="H60" s="37" t="e">
        <f t="shared" si="23"/>
        <v>#DIV/0!</v>
      </c>
      <c r="I60" s="37" t="e">
        <f t="shared" si="23"/>
        <v>#DIV/0!</v>
      </c>
      <c r="J60" s="37" t="e">
        <f>+((J58/J62)^2-(J58^2))^(0.5)</f>
        <v>#DIV/0!</v>
      </c>
      <c r="K60" s="37" t="e">
        <f>+((K58/K62)^2-(K58^2))^(0.5)</f>
        <v>#DIV/0!</v>
      </c>
      <c r="L60" s="37" t="e">
        <f>+((L58/L62)^2-(L58^2))^(0.5)</f>
        <v>#DIV/0!</v>
      </c>
      <c r="M60" s="37" t="e">
        <f>+((M58/M62)^2-(M58^2))^(0.5)</f>
        <v>#DIV/0!</v>
      </c>
      <c r="N60" s="37" t="e">
        <f>+((N58/N62)^2-(N58^2))^(0.5)</f>
        <v>#DIV/0!</v>
      </c>
      <c r="O60" s="37"/>
      <c r="P60" s="4">
        <f>HLOOKUP(P58,B58:N60,3,FALSE)</f>
        <v>75.803649958638132</v>
      </c>
    </row>
    <row r="61" spans="1:16" x14ac:dyDescent="0.25">
      <c r="A61" s="3" t="s">
        <v>8</v>
      </c>
      <c r="B61" s="37">
        <f t="shared" ref="B61:N61" si="24">+B59/(24*B$8)</f>
        <v>0</v>
      </c>
      <c r="C61" s="37">
        <f t="shared" si="24"/>
        <v>0</v>
      </c>
      <c r="D61" s="37">
        <f t="shared" si="24"/>
        <v>0</v>
      </c>
      <c r="E61" s="37">
        <f t="shared" si="24"/>
        <v>0</v>
      </c>
      <c r="F61" s="37">
        <f t="shared" si="24"/>
        <v>0</v>
      </c>
      <c r="G61" s="37">
        <f t="shared" si="24"/>
        <v>2411.1885075685482</v>
      </c>
      <c r="H61" s="37">
        <f t="shared" si="24"/>
        <v>0</v>
      </c>
      <c r="I61" s="37">
        <f t="shared" si="24"/>
        <v>0</v>
      </c>
      <c r="J61" s="37">
        <f t="shared" si="24"/>
        <v>0</v>
      </c>
      <c r="K61" s="37">
        <f t="shared" si="24"/>
        <v>0</v>
      </c>
      <c r="L61" s="37">
        <f t="shared" si="24"/>
        <v>0</v>
      </c>
      <c r="M61" s="37">
        <f t="shared" si="24"/>
        <v>0</v>
      </c>
      <c r="N61" s="37">
        <f t="shared" si="24"/>
        <v>0</v>
      </c>
      <c r="O61" s="6">
        <f>SUM(O59)/(24*O$8)</f>
        <v>204.78587324554795</v>
      </c>
      <c r="P61" s="4">
        <f>O59/(COUNTIF(B59:N59,"&gt;0")*720)</f>
        <v>2491.5614578208333</v>
      </c>
    </row>
    <row r="62" spans="1:16" x14ac:dyDescent="0.25">
      <c r="A62" s="3" t="s">
        <v>9</v>
      </c>
      <c r="B62" s="380">
        <f>VLOOKUP($A$57,TABLA_1[],10,FALSE)</f>
        <v>0</v>
      </c>
      <c r="C62" s="380">
        <f>VLOOKUP($A$57,TABLA_2[],10,FALSE)</f>
        <v>0</v>
      </c>
      <c r="D62" s="380">
        <f>VLOOKUP($A$57,TABLA_3[],10,FALSE)</f>
        <v>0</v>
      </c>
      <c r="E62" s="380">
        <f>VLOOKUP($A$57,TABLA_4[],10,FALSE)</f>
        <v>0</v>
      </c>
      <c r="F62" s="380">
        <f>VLOOKUP($A$57,TABLA_5[],10,FALSE)</f>
        <v>0</v>
      </c>
      <c r="G62" s="380">
        <f>VLOOKUP($A$57,TABLA_6[],10,FALSE)</f>
        <v>0.99975700000000001</v>
      </c>
      <c r="H62" s="380">
        <f>VLOOKUP($A$57,TABLA_7[],10,FALSE)</f>
        <v>0</v>
      </c>
      <c r="I62" s="380">
        <f>VLOOKUP($A$57,TABLA_8[],10,FALSE)</f>
        <v>0</v>
      </c>
      <c r="J62" s="380">
        <f>VLOOKUP($A$57,TABLA_9[],10,FALSE)</f>
        <v>0</v>
      </c>
      <c r="K62" s="380">
        <f>VLOOKUP($A$57,TABLA_10[],10,FALSE)</f>
        <v>0</v>
      </c>
      <c r="L62" s="380">
        <f>VLOOKUP($A$57,TABLA_11[],10,FALSE)</f>
        <v>0</v>
      </c>
      <c r="M62" s="380">
        <f>VLOOKUP($A$57,TABLA_12[],10,FALSE)</f>
        <v>0</v>
      </c>
      <c r="N62" s="380">
        <f>VLOOKUP($A$57,TABLA_13[],10,FALSE)</f>
        <v>0</v>
      </c>
      <c r="O62" s="6"/>
      <c r="P62" s="4">
        <f>COS(ATAN(P60/P58))</f>
        <v>0.99975700000000012</v>
      </c>
    </row>
    <row r="63" spans="1:16" x14ac:dyDescent="0.25">
      <c r="A63" s="3" t="s">
        <v>17</v>
      </c>
      <c r="B63" s="37" t="e">
        <f t="shared" ref="B63:I63" si="25">+B61/B58</f>
        <v>#DIV/0!</v>
      </c>
      <c r="C63" s="37" t="e">
        <f>+C61/C58</f>
        <v>#DIV/0!</v>
      </c>
      <c r="D63" s="37" t="e">
        <f t="shared" si="25"/>
        <v>#DIV/0!</v>
      </c>
      <c r="E63" s="37" t="e">
        <f t="shared" si="25"/>
        <v>#DIV/0!</v>
      </c>
      <c r="F63" s="37" t="e">
        <f t="shared" si="25"/>
        <v>#DIV/0!</v>
      </c>
      <c r="G63" s="37">
        <f t="shared" si="25"/>
        <v>0.70135572039909533</v>
      </c>
      <c r="H63" s="37" t="e">
        <f t="shared" si="25"/>
        <v>#DIV/0!</v>
      </c>
      <c r="I63" s="37" t="e">
        <f t="shared" si="25"/>
        <v>#DIV/0!</v>
      </c>
      <c r="J63" s="37" t="e">
        <f>+J61/J58</f>
        <v>#DIV/0!</v>
      </c>
      <c r="K63" s="37" t="e">
        <f>+K61/K58</f>
        <v>#DIV/0!</v>
      </c>
      <c r="L63" s="37" t="e">
        <f>+L61/L58</f>
        <v>#DIV/0!</v>
      </c>
      <c r="M63" s="37" t="e">
        <f>+M61/M58</f>
        <v>#DIV/0!</v>
      </c>
      <c r="N63" s="37" t="e">
        <f>+N61/N58</f>
        <v>#DIV/0!</v>
      </c>
      <c r="O63" s="6"/>
      <c r="P63" s="4">
        <f>+P61/P58</f>
        <v>0.72473424441239853</v>
      </c>
    </row>
    <row r="64" spans="1:16" s="24" customFormat="1" x14ac:dyDescent="0.25">
      <c r="A64" s="271" t="s">
        <v>231</v>
      </c>
      <c r="B64" s="65"/>
      <c r="C64" s="65"/>
      <c r="D64" s="65"/>
      <c r="E64" s="65"/>
      <c r="F64" s="65"/>
      <c r="G64" s="66"/>
      <c r="H64" s="66"/>
      <c r="I64" s="66"/>
      <c r="J64" s="66"/>
      <c r="K64" s="50"/>
      <c r="L64" s="50"/>
      <c r="M64" s="50"/>
      <c r="N64" s="50"/>
      <c r="O64" s="50"/>
      <c r="P64" s="50"/>
    </row>
    <row r="65" spans="1:18" x14ac:dyDescent="0.25">
      <c r="A65" s="3" t="s">
        <v>6</v>
      </c>
      <c r="B65" s="380">
        <f>VLOOKUP($A$64,TABLA_1[],5,FALSE)</f>
        <v>0</v>
      </c>
      <c r="C65" s="380">
        <f>VLOOKUP($A$64,TABLA_2[],5,FALSE)</f>
        <v>0</v>
      </c>
      <c r="D65" s="380">
        <f>VLOOKUP($A$64,TABLA_3[],5,FALSE)</f>
        <v>0</v>
      </c>
      <c r="E65" s="380">
        <f>VLOOKUP($A$64,TABLA_4[],5,FALSE)</f>
        <v>0</v>
      </c>
      <c r="F65" s="380">
        <f>VLOOKUP($A$64,TABLA_5[],5,FALSE)</f>
        <v>0</v>
      </c>
      <c r="G65" s="380">
        <f>VLOOKUP($A$64,TABLA_6[],5,FALSE)</f>
        <v>4791.2383620000001</v>
      </c>
      <c r="H65" s="380">
        <f>VLOOKUP($A$64,TABLA_7[],5,FALSE)</f>
        <v>0</v>
      </c>
      <c r="I65" s="380">
        <f>VLOOKUP($A$64,TABLA_8[],5,FALSE)</f>
        <v>0</v>
      </c>
      <c r="J65" s="380">
        <f>VLOOKUP($A$64,TABLA_9[],5,FALSE)</f>
        <v>0</v>
      </c>
      <c r="K65" s="380">
        <f>VLOOKUP($A$64,TABLA_10[],5,FALSE)</f>
        <v>0</v>
      </c>
      <c r="L65" s="380">
        <f>VLOOKUP($A$64,TABLA_11[],5,FALSE)</f>
        <v>0</v>
      </c>
      <c r="M65" s="380">
        <f>VLOOKUP($A$64,TABLA_12[],5,FALSE)</f>
        <v>0</v>
      </c>
      <c r="N65" s="380">
        <f>VLOOKUP($A$64,TABLA_13[],5,FALSE)</f>
        <v>0</v>
      </c>
      <c r="O65" s="6"/>
      <c r="P65" s="43">
        <f>MAX(B65:N65)</f>
        <v>4791.2383620000001</v>
      </c>
    </row>
    <row r="66" spans="1:18" x14ac:dyDescent="0.25">
      <c r="A66" s="3" t="s">
        <v>7</v>
      </c>
      <c r="B66" s="380">
        <f>VLOOKUP($A$64,TABLA_1[],8,FALSE)</f>
        <v>0</v>
      </c>
      <c r="C66" s="380">
        <f>VLOOKUP($A$64,TABLA_2[],8,FALSE)</f>
        <v>0</v>
      </c>
      <c r="D66" s="380">
        <f>VLOOKUP($A$64,TABLA_3[],8,FALSE)</f>
        <v>0</v>
      </c>
      <c r="E66" s="380">
        <f>VLOOKUP($A$64,TABLA_4[],8,FALSE)</f>
        <v>0</v>
      </c>
      <c r="F66" s="380">
        <f>VLOOKUP($A$64,TABLA_5[],8,FALSE)</f>
        <v>0</v>
      </c>
      <c r="G66" s="380">
        <f>VLOOKUP($A$64,TABLA_6[],8,FALSE)</f>
        <v>2284546.333573</v>
      </c>
      <c r="H66" s="380">
        <f>VLOOKUP($A$64,TABLA_7[],8,FALSE)</f>
        <v>0</v>
      </c>
      <c r="I66" s="380">
        <f>VLOOKUP($A$64,TABLA_8[],8,FALSE)</f>
        <v>0</v>
      </c>
      <c r="J66" s="380">
        <f>VLOOKUP($A$64,TABLA_9[],8,FALSE)</f>
        <v>0</v>
      </c>
      <c r="K66" s="380">
        <f>VLOOKUP($A$64,TABLA_10[],8,FALSE)</f>
        <v>0</v>
      </c>
      <c r="L66" s="380">
        <f>VLOOKUP($A$64,TABLA_11[],8,FALSE)</f>
        <v>0</v>
      </c>
      <c r="M66" s="380">
        <f>VLOOKUP($A$64,TABLA_12[],8,FALSE)</f>
        <v>0</v>
      </c>
      <c r="N66" s="380">
        <f>VLOOKUP($A$64,TABLA_13[],8,FALSE)</f>
        <v>0</v>
      </c>
      <c r="O66" s="47">
        <f>SUM(B66:N66)</f>
        <v>2284546.333573</v>
      </c>
      <c r="P66" s="43">
        <f>SUM(B66:N66)/(COUNTIF(B66:N66,"&gt;0"))</f>
        <v>2284546.333573</v>
      </c>
    </row>
    <row r="67" spans="1:18" x14ac:dyDescent="0.25">
      <c r="A67" s="3" t="s">
        <v>16</v>
      </c>
      <c r="B67" s="37" t="e">
        <f t="shared" ref="B67:I67" si="26">+((B65/B69)^2-(B65^2))^(0.5)</f>
        <v>#DIV/0!</v>
      </c>
      <c r="C67" s="37" t="e">
        <f>+((C65/C69)^2-(C65^2))^(0.5)</f>
        <v>#DIV/0!</v>
      </c>
      <c r="D67" s="37" t="e">
        <f t="shared" si="26"/>
        <v>#DIV/0!</v>
      </c>
      <c r="E67" s="37" t="e">
        <f t="shared" si="26"/>
        <v>#DIV/0!</v>
      </c>
      <c r="F67" s="37" t="e">
        <f t="shared" si="26"/>
        <v>#DIV/0!</v>
      </c>
      <c r="G67" s="37">
        <f t="shared" si="26"/>
        <v>667.30303079590874</v>
      </c>
      <c r="H67" s="37" t="e">
        <f t="shared" si="26"/>
        <v>#DIV/0!</v>
      </c>
      <c r="I67" s="37" t="e">
        <f t="shared" si="26"/>
        <v>#DIV/0!</v>
      </c>
      <c r="J67" s="37" t="e">
        <f>+((J65/J69)^2-(J65^2))^(0.5)</f>
        <v>#DIV/0!</v>
      </c>
      <c r="K67" s="37" t="e">
        <f>+((K65/K69)^2-(K65^2))^(0.5)</f>
        <v>#DIV/0!</v>
      </c>
      <c r="L67" s="37" t="e">
        <f>+((L65/L69)^2-(L65^2))^(0.5)</f>
        <v>#DIV/0!</v>
      </c>
      <c r="M67" s="37" t="e">
        <f>+((M65/M69)^2-(M65^2))^(0.5)</f>
        <v>#DIV/0!</v>
      </c>
      <c r="N67" s="37" t="e">
        <f>+((N65/N69)^2-(N65^2))^(0.5)</f>
        <v>#DIV/0!</v>
      </c>
      <c r="O67" s="37"/>
      <c r="P67" s="4">
        <f>HLOOKUP(P65,B65:N67,3,FALSE)</f>
        <v>667.30303079590874</v>
      </c>
    </row>
    <row r="68" spans="1:18" x14ac:dyDescent="0.25">
      <c r="A68" s="3" t="s">
        <v>8</v>
      </c>
      <c r="B68" s="37">
        <f t="shared" ref="B68:N68" si="27">+B66/(24*B$8)</f>
        <v>0</v>
      </c>
      <c r="C68" s="37">
        <f t="shared" si="27"/>
        <v>0</v>
      </c>
      <c r="D68" s="37">
        <f t="shared" si="27"/>
        <v>0</v>
      </c>
      <c r="E68" s="37">
        <f t="shared" si="27"/>
        <v>0</v>
      </c>
      <c r="F68" s="37">
        <f t="shared" si="27"/>
        <v>0</v>
      </c>
      <c r="G68" s="37">
        <f t="shared" si="27"/>
        <v>3070.6267924368281</v>
      </c>
      <c r="H68" s="37">
        <f t="shared" si="27"/>
        <v>0</v>
      </c>
      <c r="I68" s="37">
        <f t="shared" si="27"/>
        <v>0</v>
      </c>
      <c r="J68" s="37">
        <f t="shared" si="27"/>
        <v>0</v>
      </c>
      <c r="K68" s="37">
        <f t="shared" si="27"/>
        <v>0</v>
      </c>
      <c r="L68" s="37">
        <f t="shared" si="27"/>
        <v>0</v>
      </c>
      <c r="M68" s="37">
        <f t="shared" si="27"/>
        <v>0</v>
      </c>
      <c r="N68" s="37">
        <f t="shared" si="27"/>
        <v>0</v>
      </c>
      <c r="O68" s="6">
        <f>SUM(O66)/(24*O$8)</f>
        <v>260.7929604535388</v>
      </c>
      <c r="P68" s="4">
        <f>O66/(COUNTIF(B66:N66,"&gt;0")*720)</f>
        <v>3172.9810188513889</v>
      </c>
    </row>
    <row r="69" spans="1:18" x14ac:dyDescent="0.25">
      <c r="A69" s="3" t="s">
        <v>9</v>
      </c>
      <c r="B69" s="380">
        <f>VLOOKUP($A$64,TABLA_1[],10,FALSE)</f>
        <v>0</v>
      </c>
      <c r="C69" s="380">
        <f>VLOOKUP($A$64,TABLA_2[],10,FALSE)</f>
        <v>0</v>
      </c>
      <c r="D69" s="380">
        <f>VLOOKUP($A$64,TABLA_3[],10,FALSE)</f>
        <v>0</v>
      </c>
      <c r="E69" s="380">
        <f>VLOOKUP($A$64,TABLA_4[],10,FALSE)</f>
        <v>0</v>
      </c>
      <c r="F69" s="380">
        <f>VLOOKUP($A$64,TABLA_5[],10,FALSE)</f>
        <v>0</v>
      </c>
      <c r="G69" s="380">
        <f>VLOOKUP($A$64,TABLA_6[],10,FALSE)</f>
        <v>0.99043999999999999</v>
      </c>
      <c r="H69" s="380">
        <f>VLOOKUP($A$64,TABLA_7[],10,FALSE)</f>
        <v>0</v>
      </c>
      <c r="I69" s="380">
        <f>VLOOKUP($A$64,TABLA_8[],10,FALSE)</f>
        <v>0</v>
      </c>
      <c r="J69" s="380">
        <f>VLOOKUP($A$64,TABLA_9[],10,FALSE)</f>
        <v>0</v>
      </c>
      <c r="K69" s="380">
        <f>VLOOKUP($A$64,TABLA_10[],10,FALSE)</f>
        <v>0</v>
      </c>
      <c r="L69" s="380">
        <f>VLOOKUP($A$64,TABLA_11[],10,FALSE)</f>
        <v>0</v>
      </c>
      <c r="M69" s="380">
        <f>VLOOKUP($A$64,TABLA_12[],10,FALSE)</f>
        <v>0</v>
      </c>
      <c r="N69" s="380">
        <f>VLOOKUP($A$64,TABLA_13[],10,FALSE)</f>
        <v>0</v>
      </c>
      <c r="O69" s="6"/>
      <c r="P69" s="4">
        <f>COS(ATAN(P67/P65))</f>
        <v>0.99043999999999999</v>
      </c>
    </row>
    <row r="70" spans="1:18" x14ac:dyDescent="0.25">
      <c r="A70" s="3" t="s">
        <v>17</v>
      </c>
      <c r="B70" s="37" t="e">
        <f t="shared" ref="B70:I70" si="28">+B68/B65</f>
        <v>#DIV/0!</v>
      </c>
      <c r="C70" s="37" t="e">
        <f>+C68/C65</f>
        <v>#DIV/0!</v>
      </c>
      <c r="D70" s="37" t="e">
        <f t="shared" si="28"/>
        <v>#DIV/0!</v>
      </c>
      <c r="E70" s="37" t="e">
        <f t="shared" si="28"/>
        <v>#DIV/0!</v>
      </c>
      <c r="F70" s="37" t="e">
        <f t="shared" si="28"/>
        <v>#DIV/0!</v>
      </c>
      <c r="G70" s="37">
        <f t="shared" si="28"/>
        <v>0.64088374663018444</v>
      </c>
      <c r="H70" s="37" t="e">
        <f t="shared" si="28"/>
        <v>#DIV/0!</v>
      </c>
      <c r="I70" s="37" t="e">
        <f t="shared" si="28"/>
        <v>#DIV/0!</v>
      </c>
      <c r="J70" s="37" t="e">
        <f>+J68/J65</f>
        <v>#DIV/0!</v>
      </c>
      <c r="K70" s="37" t="e">
        <f>+K68/K65</f>
        <v>#DIV/0!</v>
      </c>
      <c r="L70" s="37" t="e">
        <f>+L68/L65</f>
        <v>#DIV/0!</v>
      </c>
      <c r="M70" s="37" t="e">
        <f>+M68/M65</f>
        <v>#DIV/0!</v>
      </c>
      <c r="N70" s="37" t="e">
        <f>+N68/N65</f>
        <v>#DIV/0!</v>
      </c>
      <c r="O70" s="6"/>
      <c r="P70" s="4">
        <f>+P68/P65</f>
        <v>0.66224653818452395</v>
      </c>
    </row>
    <row r="71" spans="1:18" s="48" customFormat="1" x14ac:dyDescent="0.25">
      <c r="A71" s="86"/>
      <c r="B71" s="77"/>
      <c r="C71" s="77"/>
      <c r="D71" s="77"/>
      <c r="E71" s="77"/>
      <c r="F71" s="77"/>
      <c r="G71" s="77"/>
      <c r="H71" s="77"/>
      <c r="I71" s="77"/>
      <c r="J71" s="77"/>
      <c r="K71" s="77"/>
      <c r="L71" s="77"/>
      <c r="M71" s="77"/>
      <c r="N71" s="77"/>
      <c r="O71" s="77"/>
      <c r="P71" s="83"/>
    </row>
    <row r="72" spans="1:18" s="48" customFormat="1" x14ac:dyDescent="0.25">
      <c r="A72" s="86"/>
      <c r="B72" s="77"/>
      <c r="C72" s="77"/>
      <c r="D72" s="77"/>
      <c r="E72" s="77"/>
      <c r="F72" s="77"/>
      <c r="G72" s="77"/>
      <c r="H72" s="77"/>
      <c r="I72" s="77"/>
      <c r="J72" s="77"/>
      <c r="K72" s="77"/>
      <c r="L72" s="77"/>
      <c r="M72" s="77"/>
      <c r="N72" s="77"/>
      <c r="O72" s="77"/>
      <c r="P72" s="83"/>
    </row>
    <row r="73" spans="1:18" x14ac:dyDescent="0.25">
      <c r="A73" s="7" t="s">
        <v>10</v>
      </c>
      <c r="B73" s="72"/>
      <c r="C73" s="72"/>
      <c r="D73" s="72"/>
      <c r="E73" s="72"/>
      <c r="F73" s="72"/>
      <c r="G73" s="73"/>
      <c r="H73" s="73"/>
      <c r="I73" s="73"/>
      <c r="J73" s="73"/>
      <c r="K73" s="73"/>
      <c r="L73" s="53"/>
      <c r="M73" s="53"/>
      <c r="N73" s="53"/>
      <c r="O73" s="53"/>
      <c r="P73" s="8"/>
    </row>
    <row r="74" spans="1:18" x14ac:dyDescent="0.25">
      <c r="A74" s="9" t="s">
        <v>11</v>
      </c>
      <c r="B74" s="62">
        <f>+B51+B58+B65</f>
        <v>0</v>
      </c>
      <c r="C74" s="62">
        <f>+C51+C58+C65</f>
        <v>0</v>
      </c>
      <c r="D74" s="62">
        <f t="shared" ref="D74:H75" si="29">+D51+D58+D65</f>
        <v>0</v>
      </c>
      <c r="E74" s="62">
        <f t="shared" si="29"/>
        <v>0</v>
      </c>
      <c r="F74" s="62">
        <f t="shared" si="29"/>
        <v>0</v>
      </c>
      <c r="G74" s="62">
        <f t="shared" si="29"/>
        <v>12254.136716999999</v>
      </c>
      <c r="H74" s="62">
        <f t="shared" ref="H74:N74" si="30">+H51+H58+H65</f>
        <v>0</v>
      </c>
      <c r="I74" s="62">
        <f>+I51+I58+I65</f>
        <v>0</v>
      </c>
      <c r="J74" s="62">
        <f t="shared" si="30"/>
        <v>0</v>
      </c>
      <c r="K74" s="62">
        <f>+K51+K58+K65</f>
        <v>0</v>
      </c>
      <c r="L74" s="62">
        <f t="shared" si="30"/>
        <v>0</v>
      </c>
      <c r="M74" s="62">
        <f t="shared" si="30"/>
        <v>0</v>
      </c>
      <c r="N74" s="62">
        <f t="shared" si="30"/>
        <v>0</v>
      </c>
      <c r="O74" s="54"/>
      <c r="P74" s="42">
        <f>MAX(B74:N74)</f>
        <v>12254.136716999999</v>
      </c>
    </row>
    <row r="75" spans="1:18" x14ac:dyDescent="0.25">
      <c r="A75" s="9" t="s">
        <v>7</v>
      </c>
      <c r="B75" s="62">
        <f>+B52+B59+B66</f>
        <v>0</v>
      </c>
      <c r="C75" s="62">
        <f>+C52+C59+C66</f>
        <v>0</v>
      </c>
      <c r="D75" s="62">
        <f>+D52+D59+D66</f>
        <v>0</v>
      </c>
      <c r="E75" s="62">
        <f>+E52+E59+E66</f>
        <v>0</v>
      </c>
      <c r="F75" s="62">
        <f t="shared" si="29"/>
        <v>0</v>
      </c>
      <c r="G75" s="62">
        <f t="shared" si="29"/>
        <v>6202184.3316859994</v>
      </c>
      <c r="H75" s="62">
        <f t="shared" si="29"/>
        <v>0</v>
      </c>
      <c r="I75" s="62">
        <f t="shared" ref="I75:N75" si="31">+I52+I59+I66</f>
        <v>0</v>
      </c>
      <c r="J75" s="62">
        <f t="shared" si="31"/>
        <v>0</v>
      </c>
      <c r="K75" s="62">
        <f t="shared" si="31"/>
        <v>0</v>
      </c>
      <c r="L75" s="62">
        <f t="shared" si="31"/>
        <v>0</v>
      </c>
      <c r="M75" s="62">
        <f t="shared" si="31"/>
        <v>0</v>
      </c>
      <c r="N75" s="62">
        <f t="shared" si="31"/>
        <v>0</v>
      </c>
      <c r="O75" s="62">
        <f>SUM(B75:N75)</f>
        <v>6202184.3316859994</v>
      </c>
      <c r="P75" s="9"/>
    </row>
    <row r="76" spans="1:18" s="24" customFormat="1" x14ac:dyDescent="0.25">
      <c r="A76" s="272" t="s">
        <v>30</v>
      </c>
      <c r="B76" s="376" t="s">
        <v>480</v>
      </c>
      <c r="C76" s="246"/>
      <c r="D76" s="246"/>
      <c r="E76" s="246"/>
      <c r="F76" s="246"/>
      <c r="G76" s="247"/>
      <c r="H76" s="247"/>
      <c r="I76" s="247"/>
      <c r="J76" s="247"/>
      <c r="K76" s="36"/>
      <c r="L76" s="36"/>
      <c r="M76" s="36"/>
      <c r="N76" s="36"/>
      <c r="O76" s="36"/>
      <c r="P76" s="36"/>
    </row>
    <row r="77" spans="1:18" x14ac:dyDescent="0.25">
      <c r="A77" s="3" t="s">
        <v>6</v>
      </c>
      <c r="B77" s="380">
        <f>VLOOKUP($B$76,BancoTabla_1[],5,FALSE)</f>
        <v>0</v>
      </c>
      <c r="C77" s="380">
        <f>VLOOKUP($B$76,BancoTabla_2[],5,FALSE)</f>
        <v>0</v>
      </c>
      <c r="D77" s="380">
        <f>VLOOKUP($B$76,BancoTabla_3[],5,FALSE)</f>
        <v>0</v>
      </c>
      <c r="E77" s="380">
        <f>VLOOKUP($B$76,BancoTabla_4[],5,FALSE)</f>
        <v>0</v>
      </c>
      <c r="F77" s="380">
        <f>VLOOKUP($B$76,BancoTabla_5[],5,FALSE)</f>
        <v>0</v>
      </c>
      <c r="G77" s="380">
        <f>VLOOKUP($B$76,BancoTabla_6[],5,FALSE)</f>
        <v>12438.066731000001</v>
      </c>
      <c r="H77" s="380">
        <f>VLOOKUP($B$76,BancoTabla_7[],5,FALSE)</f>
        <v>0</v>
      </c>
      <c r="I77" s="380">
        <f>VLOOKUP($B$76,BancoTabla_8[],5,FALSE)</f>
        <v>0</v>
      </c>
      <c r="J77" s="380">
        <f>VLOOKUP($B$76,BancoTabla_9[],5,FALSE)</f>
        <v>0</v>
      </c>
      <c r="K77" s="380">
        <f>VLOOKUP($B$76,BancoTabla_10[],5,FALSE)</f>
        <v>0</v>
      </c>
      <c r="L77" s="380">
        <f>VLOOKUP($B$76,BancoTabla_11[],5,FALSE)</f>
        <v>0</v>
      </c>
      <c r="M77" s="380">
        <f>VLOOKUP($B$76,BancoTabla_12[],5,FALSE)</f>
        <v>0</v>
      </c>
      <c r="N77" s="380">
        <f>VLOOKUP($B$76,BancoTabla_13[],5,FALSE)</f>
        <v>0</v>
      </c>
      <c r="O77" s="79"/>
      <c r="P77" s="43">
        <f>MAX(B77:N77)</f>
        <v>12438.066731000001</v>
      </c>
      <c r="Q77" s="334">
        <f>P77/1000</f>
        <v>12.438066731000001</v>
      </c>
    </row>
    <row r="78" spans="1:18" x14ac:dyDescent="0.25">
      <c r="A78" s="3" t="s">
        <v>7</v>
      </c>
      <c r="B78" s="380">
        <f>VLOOKUP($B$76,BancoTabla_1[],8,FALSE)</f>
        <v>0</v>
      </c>
      <c r="C78" s="380">
        <f>VLOOKUP($B$76,BancoTabla_2[],8,FALSE)</f>
        <v>0</v>
      </c>
      <c r="D78" s="380">
        <f>VLOOKUP($B$76,BancoTabla_3[],8,FALSE)</f>
        <v>0</v>
      </c>
      <c r="E78" s="380">
        <f>VLOOKUP($B$76,BancoTabla_4[],8,FALSE)</f>
        <v>0</v>
      </c>
      <c r="F78" s="380">
        <f>VLOOKUP($B$76,BancoTabla_5[],8,FALSE)</f>
        <v>0</v>
      </c>
      <c r="G78" s="380">
        <f>VLOOKUP($B$76,BancoTabla_6[],8,FALSE)</f>
        <v>6328046.6324979998</v>
      </c>
      <c r="H78" s="380">
        <f>VLOOKUP($B$76,BancoTabla_7[],8,FALSE)</f>
        <v>0</v>
      </c>
      <c r="I78" s="380">
        <f>VLOOKUP($B$76,BancoTabla_8[],8,FALSE)</f>
        <v>0</v>
      </c>
      <c r="J78" s="380">
        <f>VLOOKUP($B$76,BancoTabla_9[],8,FALSE)</f>
        <v>0</v>
      </c>
      <c r="K78" s="380">
        <f>VLOOKUP($B$76,BancoTabla_10[],8,FALSE)</f>
        <v>0</v>
      </c>
      <c r="L78" s="380">
        <f>VLOOKUP($B$76,BancoTabla_11[],8,FALSE)</f>
        <v>0</v>
      </c>
      <c r="M78" s="380">
        <f>VLOOKUP($B$76,BancoTabla_12[],8,FALSE)</f>
        <v>0</v>
      </c>
      <c r="N78" s="380">
        <f>VLOOKUP($B$76,BancoTabla_13[],8,FALSE)</f>
        <v>0</v>
      </c>
      <c r="O78" s="47">
        <f>SUM(B78:N78)</f>
        <v>6328046.6324979998</v>
      </c>
      <c r="P78" s="4">
        <f>SUM(B78:N78)/(COUNTIF(B78:N78,"&gt;0"))</f>
        <v>6328046.6324979998</v>
      </c>
      <c r="R78" s="39"/>
    </row>
    <row r="79" spans="1:18" x14ac:dyDescent="0.25">
      <c r="A79" s="3" t="s">
        <v>16</v>
      </c>
      <c r="B79" s="37" t="e">
        <f t="shared" ref="B79:H79" si="32">+((B77/B81)^2-(B77^2))^(0.5)</f>
        <v>#DIV/0!</v>
      </c>
      <c r="C79" s="37" t="e">
        <f>+((C77/C81)^2-(C77^2))^(0.5)</f>
        <v>#DIV/0!</v>
      </c>
      <c r="D79" s="37" t="e">
        <f t="shared" si="32"/>
        <v>#DIV/0!</v>
      </c>
      <c r="E79" s="37" t="e">
        <f t="shared" si="32"/>
        <v>#DIV/0!</v>
      </c>
      <c r="F79" s="37" t="e">
        <f t="shared" si="32"/>
        <v>#DIV/0!</v>
      </c>
      <c r="G79" s="37">
        <f t="shared" si="32"/>
        <v>1691.1391805990577</v>
      </c>
      <c r="H79" s="37" t="e">
        <f t="shared" si="32"/>
        <v>#DIV/0!</v>
      </c>
      <c r="I79" s="37" t="e">
        <f t="shared" ref="I79:N79" si="33">+((I77/I81)^2-(I77^2))^(0.5)</f>
        <v>#DIV/0!</v>
      </c>
      <c r="J79" s="37" t="e">
        <f t="shared" si="33"/>
        <v>#DIV/0!</v>
      </c>
      <c r="K79" s="37" t="e">
        <f t="shared" si="33"/>
        <v>#DIV/0!</v>
      </c>
      <c r="L79" s="37" t="e">
        <f t="shared" si="33"/>
        <v>#DIV/0!</v>
      </c>
      <c r="M79" s="37" t="e">
        <f t="shared" si="33"/>
        <v>#DIV/0!</v>
      </c>
      <c r="N79" s="37" t="e">
        <f t="shared" si="33"/>
        <v>#DIV/0!</v>
      </c>
      <c r="O79" s="37"/>
      <c r="P79" s="4">
        <f>HLOOKUP(P77,B77:N79,3,FALSE)</f>
        <v>1691.1391805990577</v>
      </c>
    </row>
    <row r="80" spans="1:18" x14ac:dyDescent="0.25">
      <c r="A80" s="3" t="s">
        <v>8</v>
      </c>
      <c r="B80" s="37">
        <f t="shared" ref="B80:N80" si="34">+B78/(24*B$8)</f>
        <v>0</v>
      </c>
      <c r="C80" s="37">
        <f t="shared" si="34"/>
        <v>0</v>
      </c>
      <c r="D80" s="37">
        <f t="shared" si="34"/>
        <v>0</v>
      </c>
      <c r="E80" s="37">
        <f t="shared" si="34"/>
        <v>0</v>
      </c>
      <c r="F80" s="37">
        <f t="shared" si="34"/>
        <v>0</v>
      </c>
      <c r="G80" s="37">
        <f t="shared" si="34"/>
        <v>8505.4390221747308</v>
      </c>
      <c r="H80" s="37">
        <f t="shared" si="34"/>
        <v>0</v>
      </c>
      <c r="I80" s="37">
        <f t="shared" si="34"/>
        <v>0</v>
      </c>
      <c r="J80" s="37">
        <f t="shared" si="34"/>
        <v>0</v>
      </c>
      <c r="K80" s="37">
        <f t="shared" si="34"/>
        <v>0</v>
      </c>
      <c r="L80" s="37">
        <f t="shared" si="34"/>
        <v>0</v>
      </c>
      <c r="M80" s="37">
        <f t="shared" si="34"/>
        <v>0</v>
      </c>
      <c r="N80" s="37">
        <f t="shared" si="34"/>
        <v>0</v>
      </c>
      <c r="O80" s="6">
        <f>SUM(O78)/(24*O$8)</f>
        <v>722.37975256826485</v>
      </c>
      <c r="P80" s="4">
        <f>O78/(COUNTIF(B78:N78,"&gt;0")*720)</f>
        <v>8788.9536562472222</v>
      </c>
    </row>
    <row r="81" spans="1:16" x14ac:dyDescent="0.25">
      <c r="A81" s="3" t="s">
        <v>9</v>
      </c>
      <c r="B81" s="380">
        <f>VLOOKUP($B$76,BancoTabla_1[],10,FALSE)</f>
        <v>0</v>
      </c>
      <c r="C81" s="380">
        <f>VLOOKUP($B$76,BancoTabla_2[],10,FALSE)</f>
        <v>0</v>
      </c>
      <c r="D81" s="380">
        <f>VLOOKUP($B$76,BancoTabla_3[],10,FALSE)</f>
        <v>0</v>
      </c>
      <c r="E81" s="380">
        <f>VLOOKUP($B$76,BancoTabla_4[],10,FALSE)</f>
        <v>0</v>
      </c>
      <c r="F81" s="380">
        <f>VLOOKUP($B$76,BancoTabla_5[],10,FALSE)</f>
        <v>0</v>
      </c>
      <c r="G81" s="380">
        <f>VLOOKUP($B$76,BancoTabla_6[],10,FALSE)</f>
        <v>0.99088299999999996</v>
      </c>
      <c r="H81" s="380">
        <f>VLOOKUP($B$76,BancoTabla_7[],10,FALSE)</f>
        <v>0</v>
      </c>
      <c r="I81" s="380">
        <f>VLOOKUP($B$76,BancoTabla_8[],10,FALSE)</f>
        <v>0</v>
      </c>
      <c r="J81" s="380">
        <f>VLOOKUP($B$76,BancoTabla_9[],10,FALSE)</f>
        <v>0</v>
      </c>
      <c r="K81" s="380">
        <f>VLOOKUP($B$76,BancoTabla_10[],10,FALSE)</f>
        <v>0</v>
      </c>
      <c r="L81" s="380">
        <f>VLOOKUP($B$76,BancoTabla_11[],10,FALSE)</f>
        <v>0</v>
      </c>
      <c r="M81" s="380">
        <f>VLOOKUP($B$76,BancoTabla_12[],10,FALSE)</f>
        <v>0</v>
      </c>
      <c r="N81" s="380">
        <f>VLOOKUP($B$76,BancoTabla_13[],10,FALSE)</f>
        <v>0</v>
      </c>
      <c r="O81" s="6"/>
      <c r="P81" s="4">
        <f>COS(ATAN(P79/P77))</f>
        <v>0.99088299999999996</v>
      </c>
    </row>
    <row r="82" spans="1:16" x14ac:dyDescent="0.25">
      <c r="A82" s="3" t="s">
        <v>17</v>
      </c>
      <c r="B82" s="37" t="e">
        <f t="shared" ref="B82:H82" si="35">+B80/B77</f>
        <v>#DIV/0!</v>
      </c>
      <c r="C82" s="37" t="e">
        <f>+C80/C77</f>
        <v>#DIV/0!</v>
      </c>
      <c r="D82" s="37" t="e">
        <f t="shared" si="35"/>
        <v>#DIV/0!</v>
      </c>
      <c r="E82" s="37" t="e">
        <f t="shared" si="35"/>
        <v>#DIV/0!</v>
      </c>
      <c r="F82" s="37" t="e">
        <f t="shared" si="35"/>
        <v>#DIV/0!</v>
      </c>
      <c r="G82" s="37">
        <f t="shared" si="35"/>
        <v>0.68382323444014093</v>
      </c>
      <c r="H82" s="37" t="e">
        <f t="shared" si="35"/>
        <v>#DIV/0!</v>
      </c>
      <c r="I82" s="37" t="e">
        <f t="shared" ref="I82:N82" si="36">+I80/I77</f>
        <v>#DIV/0!</v>
      </c>
      <c r="J82" s="37" t="e">
        <f t="shared" si="36"/>
        <v>#DIV/0!</v>
      </c>
      <c r="K82" s="37" t="e">
        <f t="shared" si="36"/>
        <v>#DIV/0!</v>
      </c>
      <c r="L82" s="37" t="e">
        <f t="shared" si="36"/>
        <v>#DIV/0!</v>
      </c>
      <c r="M82" s="37" t="e">
        <f t="shared" si="36"/>
        <v>#DIV/0!</v>
      </c>
      <c r="N82" s="37" t="e">
        <f t="shared" si="36"/>
        <v>#DIV/0!</v>
      </c>
      <c r="O82" s="6"/>
      <c r="P82" s="4">
        <f>+P80/P77</f>
        <v>0.70661734225481232</v>
      </c>
    </row>
    <row r="83" spans="1:16" x14ac:dyDescent="0.25">
      <c r="A83" s="3" t="s">
        <v>18</v>
      </c>
      <c r="B83" s="37" t="e">
        <f t="shared" ref="B83:H83" si="37">+B74/B77</f>
        <v>#DIV/0!</v>
      </c>
      <c r="C83" s="37" t="e">
        <f>+C74/C77</f>
        <v>#DIV/0!</v>
      </c>
      <c r="D83" s="37" t="e">
        <f t="shared" si="37"/>
        <v>#DIV/0!</v>
      </c>
      <c r="E83" s="328" t="e">
        <f t="shared" si="37"/>
        <v>#DIV/0!</v>
      </c>
      <c r="F83" s="37" t="e">
        <f t="shared" si="37"/>
        <v>#DIV/0!</v>
      </c>
      <c r="G83" s="37">
        <f t="shared" si="37"/>
        <v>0.98521233098536254</v>
      </c>
      <c r="H83" s="37" t="e">
        <f t="shared" si="37"/>
        <v>#DIV/0!</v>
      </c>
      <c r="I83" s="37" t="e">
        <f t="shared" ref="I83:N83" si="38">+I74/I77</f>
        <v>#DIV/0!</v>
      </c>
      <c r="J83" s="37" t="e">
        <f t="shared" si="38"/>
        <v>#DIV/0!</v>
      </c>
      <c r="K83" s="37" t="e">
        <f t="shared" si="38"/>
        <v>#DIV/0!</v>
      </c>
      <c r="L83" s="37" t="e">
        <f t="shared" si="38"/>
        <v>#DIV/0!</v>
      </c>
      <c r="M83" s="37" t="e">
        <f t="shared" si="38"/>
        <v>#DIV/0!</v>
      </c>
      <c r="N83" s="37" t="e">
        <f t="shared" si="38"/>
        <v>#DIV/0!</v>
      </c>
      <c r="O83" s="6"/>
      <c r="P83" s="4">
        <f>+P74/P77</f>
        <v>0.98521233098536254</v>
      </c>
    </row>
    <row r="84" spans="1:16" x14ac:dyDescent="0.25">
      <c r="A84" s="3" t="s">
        <v>19</v>
      </c>
      <c r="B84" s="37">
        <f t="shared" ref="B84:H84" si="39">+B77/$B$47</f>
        <v>0</v>
      </c>
      <c r="C84" s="37">
        <f>+C77/$B$47</f>
        <v>0</v>
      </c>
      <c r="D84" s="37">
        <f t="shared" si="39"/>
        <v>0</v>
      </c>
      <c r="E84" s="37">
        <f t="shared" si="39"/>
        <v>0</v>
      </c>
      <c r="F84" s="37">
        <f t="shared" si="39"/>
        <v>0</v>
      </c>
      <c r="G84" s="37">
        <f t="shared" si="39"/>
        <v>0.62194376289458808</v>
      </c>
      <c r="H84" s="37">
        <f t="shared" si="39"/>
        <v>0</v>
      </c>
      <c r="I84" s="177">
        <f t="shared" ref="I84:N84" si="40">+I77/$B$85</f>
        <v>0</v>
      </c>
      <c r="J84" s="177">
        <f t="shared" si="40"/>
        <v>0</v>
      </c>
      <c r="K84" s="177">
        <f t="shared" si="40"/>
        <v>0</v>
      </c>
      <c r="L84" s="177">
        <f t="shared" si="40"/>
        <v>0</v>
      </c>
      <c r="M84" s="177">
        <f t="shared" si="40"/>
        <v>0</v>
      </c>
      <c r="N84" s="177">
        <f t="shared" si="40"/>
        <v>0</v>
      </c>
      <c r="O84" s="6"/>
      <c r="P84" s="4">
        <f>+P77/$B$85</f>
        <v>0.62762539729715827</v>
      </c>
    </row>
    <row r="85" spans="1:16" x14ac:dyDescent="0.25">
      <c r="A85" s="3" t="s">
        <v>20</v>
      </c>
      <c r="B85" s="37">
        <f>20*P81*1000</f>
        <v>19817.66</v>
      </c>
      <c r="C85" s="37"/>
      <c r="D85" s="37"/>
      <c r="E85" s="37"/>
      <c r="F85" s="37"/>
      <c r="G85" s="36"/>
      <c r="H85" s="36"/>
      <c r="I85" s="36"/>
      <c r="J85" s="36"/>
      <c r="K85" s="37"/>
      <c r="L85" s="37"/>
      <c r="M85" s="37"/>
      <c r="N85" s="37"/>
      <c r="O85" s="37"/>
      <c r="P85" s="4"/>
    </row>
    <row r="86" spans="1:16" x14ac:dyDescent="0.25">
      <c r="B86" s="237">
        <f>B77/$B$85</f>
        <v>0</v>
      </c>
      <c r="C86" s="237">
        <f>C77/$B$85</f>
        <v>0</v>
      </c>
      <c r="D86" s="237">
        <f t="shared" ref="D86:N86" si="41">D77/$B$85</f>
        <v>0</v>
      </c>
      <c r="E86" s="237">
        <f t="shared" si="41"/>
        <v>0</v>
      </c>
      <c r="F86" s="237">
        <f t="shared" si="41"/>
        <v>0</v>
      </c>
      <c r="G86" s="237">
        <f t="shared" si="41"/>
        <v>0.62762539729715827</v>
      </c>
      <c r="H86" s="237">
        <f t="shared" si="41"/>
        <v>0</v>
      </c>
      <c r="I86" s="237">
        <f t="shared" si="41"/>
        <v>0</v>
      </c>
      <c r="J86" s="237">
        <f t="shared" si="41"/>
        <v>0</v>
      </c>
      <c r="K86" s="237">
        <f t="shared" si="41"/>
        <v>0</v>
      </c>
      <c r="L86" s="237">
        <f t="shared" si="41"/>
        <v>0</v>
      </c>
      <c r="M86" s="237">
        <f t="shared" si="41"/>
        <v>0</v>
      </c>
      <c r="N86" s="237">
        <f t="shared" si="41"/>
        <v>0</v>
      </c>
      <c r="O86" s="24"/>
    </row>
    <row r="87" spans="1:16" x14ac:dyDescent="0.25">
      <c r="B87" s="40"/>
      <c r="C87" s="40"/>
      <c r="D87" s="40"/>
      <c r="E87" s="40"/>
      <c r="F87" s="40"/>
      <c r="G87" s="24"/>
      <c r="H87" s="24"/>
      <c r="I87" s="24"/>
      <c r="J87" s="24"/>
      <c r="K87" s="24"/>
      <c r="L87" s="24"/>
      <c r="M87" s="24"/>
      <c r="N87" s="24"/>
      <c r="O87" s="24"/>
    </row>
    <row r="88" spans="1:16" x14ac:dyDescent="0.25">
      <c r="A88" s="15" t="s">
        <v>14</v>
      </c>
      <c r="B88" s="68"/>
      <c r="C88" s="68"/>
      <c r="D88" s="68"/>
      <c r="E88" s="68"/>
      <c r="F88" s="68"/>
      <c r="G88" s="69"/>
      <c r="H88" s="69"/>
      <c r="I88" s="69"/>
      <c r="J88" s="69"/>
      <c r="K88" s="57"/>
      <c r="L88" s="57"/>
      <c r="M88" s="57"/>
      <c r="N88" s="57"/>
      <c r="O88" s="57"/>
      <c r="P88" s="16"/>
    </row>
    <row r="89" spans="1:16" x14ac:dyDescent="0.25">
      <c r="A89" s="16" t="s">
        <v>11</v>
      </c>
      <c r="B89" s="63">
        <f>+B77+B39</f>
        <v>0</v>
      </c>
      <c r="C89" s="63">
        <f>+C77+C39</f>
        <v>0</v>
      </c>
      <c r="D89" s="63">
        <f>+D77+D39</f>
        <v>0</v>
      </c>
      <c r="E89" s="63">
        <f t="shared" ref="E89:M89" si="42">+E77+E39</f>
        <v>0</v>
      </c>
      <c r="F89" s="63">
        <f t="shared" si="42"/>
        <v>0</v>
      </c>
      <c r="G89" s="63">
        <f t="shared" si="42"/>
        <v>23721.666828000001</v>
      </c>
      <c r="H89" s="63">
        <f t="shared" si="42"/>
        <v>0</v>
      </c>
      <c r="I89" s="63">
        <f t="shared" si="42"/>
        <v>0</v>
      </c>
      <c r="J89" s="63">
        <f t="shared" si="42"/>
        <v>0</v>
      </c>
      <c r="K89" s="63">
        <f t="shared" si="42"/>
        <v>0</v>
      </c>
      <c r="L89" s="63">
        <f t="shared" si="42"/>
        <v>0</v>
      </c>
      <c r="M89" s="63">
        <f t="shared" si="42"/>
        <v>0</v>
      </c>
      <c r="N89" s="63">
        <f>+N77+N39</f>
        <v>0</v>
      </c>
      <c r="O89" s="57"/>
      <c r="P89" s="45">
        <f>MAX(B89:M89)</f>
        <v>23721.666828000001</v>
      </c>
    </row>
    <row r="90" spans="1:16" x14ac:dyDescent="0.25">
      <c r="A90" s="16" t="s">
        <v>7</v>
      </c>
      <c r="B90" s="63">
        <f t="shared" ref="B90:M90" si="43">+B78+B40</f>
        <v>0</v>
      </c>
      <c r="C90" s="63">
        <f>+C78+C40</f>
        <v>0</v>
      </c>
      <c r="D90" s="63">
        <f t="shared" si="43"/>
        <v>0</v>
      </c>
      <c r="E90" s="63">
        <f t="shared" si="43"/>
        <v>0</v>
      </c>
      <c r="F90" s="63">
        <f t="shared" si="43"/>
        <v>0</v>
      </c>
      <c r="G90" s="63">
        <f t="shared" si="43"/>
        <v>11940365.706317998</v>
      </c>
      <c r="H90" s="63">
        <f t="shared" si="43"/>
        <v>0</v>
      </c>
      <c r="I90" s="63">
        <f t="shared" si="43"/>
        <v>0</v>
      </c>
      <c r="J90" s="63">
        <f t="shared" si="43"/>
        <v>0</v>
      </c>
      <c r="K90" s="63">
        <f t="shared" si="43"/>
        <v>0</v>
      </c>
      <c r="L90" s="63">
        <f t="shared" si="43"/>
        <v>0</v>
      </c>
      <c r="M90" s="63">
        <f t="shared" si="43"/>
        <v>0</v>
      </c>
      <c r="N90" s="63">
        <f>+N78+N40</f>
        <v>0</v>
      </c>
      <c r="O90" s="63">
        <f>SUM(B90:N90)</f>
        <v>11940365.706317998</v>
      </c>
      <c r="P90" s="4"/>
    </row>
    <row r="91" spans="1:16" x14ac:dyDescent="0.25">
      <c r="B91" s="40"/>
      <c r="C91" s="40"/>
      <c r="D91" s="40"/>
      <c r="E91" s="40"/>
      <c r="F91" s="40"/>
      <c r="G91" s="24"/>
      <c r="H91" s="24"/>
      <c r="I91" s="24"/>
      <c r="J91" s="24"/>
      <c r="K91" s="24"/>
      <c r="L91" s="24"/>
      <c r="M91" s="24"/>
      <c r="N91" s="24"/>
      <c r="O91" s="24"/>
    </row>
    <row r="92" spans="1:16" x14ac:dyDescent="0.25">
      <c r="A92" s="12" t="s">
        <v>21</v>
      </c>
      <c r="B92" s="70"/>
      <c r="C92" s="70"/>
      <c r="D92" s="70"/>
      <c r="E92" s="70"/>
      <c r="F92" s="70"/>
      <c r="G92" s="71"/>
      <c r="H92" s="71"/>
      <c r="I92" s="71"/>
      <c r="J92" s="71"/>
      <c r="K92" s="56"/>
      <c r="L92" s="56"/>
      <c r="M92" s="56"/>
      <c r="N92" s="56"/>
      <c r="O92" s="56"/>
      <c r="P92" s="11"/>
    </row>
    <row r="93" spans="1:16" x14ac:dyDescent="0.25">
      <c r="A93" s="13" t="s">
        <v>6</v>
      </c>
      <c r="B93" s="49">
        <f>+B89*0.98</f>
        <v>0</v>
      </c>
      <c r="C93" s="49">
        <f>+C89*0.938</f>
        <v>0</v>
      </c>
      <c r="D93" s="49">
        <f>+D89*0.96</f>
        <v>0</v>
      </c>
      <c r="E93" s="49">
        <f>+E89*0.99</f>
        <v>0</v>
      </c>
      <c r="F93" s="49">
        <f>+F89*0.99</f>
        <v>0</v>
      </c>
      <c r="G93" s="49">
        <f>+G89*0.99</f>
        <v>23484.45015972</v>
      </c>
      <c r="H93" s="49">
        <f>+H89*0.99</f>
        <v>0</v>
      </c>
      <c r="I93" s="49">
        <f>+I89*0.99</f>
        <v>0</v>
      </c>
      <c r="J93" s="49">
        <f>+J89*0.98</f>
        <v>0</v>
      </c>
      <c r="K93" s="49">
        <f>+K89*0.98</f>
        <v>0</v>
      </c>
      <c r="L93" s="49">
        <f>+L89*0.97</f>
        <v>0</v>
      </c>
      <c r="M93" s="49">
        <f>+M89*0.98</f>
        <v>0</v>
      </c>
      <c r="N93" s="49">
        <f>+N89*0.95</f>
        <v>0</v>
      </c>
      <c r="O93" s="80"/>
      <c r="P93" s="44">
        <f>MAX(B93:M93)</f>
        <v>23484.45015972</v>
      </c>
    </row>
    <row r="94" spans="1:16" x14ac:dyDescent="0.25">
      <c r="A94" s="14" t="s">
        <v>18</v>
      </c>
      <c r="B94" s="34" t="e">
        <f>+B89/B93</f>
        <v>#DIV/0!</v>
      </c>
      <c r="C94" s="34" t="e">
        <f>+C89/C93</f>
        <v>#DIV/0!</v>
      </c>
      <c r="D94" s="34" t="e">
        <f t="shared" ref="D94:M94" si="44">+D89/D93</f>
        <v>#DIV/0!</v>
      </c>
      <c r="E94" s="34" t="e">
        <f>+E89/E93</f>
        <v>#DIV/0!</v>
      </c>
      <c r="F94" s="34" t="e">
        <f t="shared" si="44"/>
        <v>#DIV/0!</v>
      </c>
      <c r="G94" s="34">
        <f t="shared" si="44"/>
        <v>1.0101010101010102</v>
      </c>
      <c r="H94" s="34" t="e">
        <f t="shared" si="44"/>
        <v>#DIV/0!</v>
      </c>
      <c r="I94" s="34" t="e">
        <f t="shared" si="44"/>
        <v>#DIV/0!</v>
      </c>
      <c r="J94" s="34" t="e">
        <f t="shared" si="44"/>
        <v>#DIV/0!</v>
      </c>
      <c r="K94" s="34" t="e">
        <f t="shared" si="44"/>
        <v>#DIV/0!</v>
      </c>
      <c r="L94" s="34" t="e">
        <f>+L89/L93</f>
        <v>#DIV/0!</v>
      </c>
      <c r="M94" s="34" t="e">
        <f t="shared" si="44"/>
        <v>#DIV/0!</v>
      </c>
      <c r="N94" s="34" t="e">
        <f>+N89/N93</f>
        <v>#DIV/0!</v>
      </c>
      <c r="O94" s="61"/>
      <c r="P94" s="14">
        <f>+P89/P93</f>
        <v>1.0101010101010102</v>
      </c>
    </row>
    <row r="96" spans="1:16" x14ac:dyDescent="0.25">
      <c r="F96" s="61" t="s">
        <v>160</v>
      </c>
      <c r="G96" s="145">
        <f>P51+P58+P65</f>
        <v>12254.136716999999</v>
      </c>
      <c r="H96" s="33"/>
      <c r="I96" s="61" t="s">
        <v>160</v>
      </c>
      <c r="J96" s="145" t="e">
        <f>P27+P13+P20</f>
        <v>#N/A</v>
      </c>
      <c r="L96" s="61" t="s">
        <v>160</v>
      </c>
      <c r="M96" s="145">
        <f>P89</f>
        <v>23721.666828000001</v>
      </c>
      <c r="N96" s="39" t="e">
        <f>G96+J96</f>
        <v>#N/A</v>
      </c>
    </row>
    <row r="97" spans="1:14" x14ac:dyDescent="0.25">
      <c r="F97" s="160" t="s">
        <v>350</v>
      </c>
      <c r="G97" s="145">
        <f>P77</f>
        <v>12438.066731000001</v>
      </c>
      <c r="I97" s="160" t="s">
        <v>348</v>
      </c>
      <c r="J97" s="145">
        <f>P39</f>
        <v>11283.600097</v>
      </c>
      <c r="L97" s="61" t="s">
        <v>171</v>
      </c>
      <c r="M97" s="145">
        <f>P93</f>
        <v>23484.45015972</v>
      </c>
      <c r="N97" s="39">
        <f>G97+J97</f>
        <v>23721.666828000001</v>
      </c>
    </row>
    <row r="98" spans="1:14" x14ac:dyDescent="0.25">
      <c r="F98" s="146" t="s">
        <v>162</v>
      </c>
      <c r="G98" s="147">
        <f>G96/G97</f>
        <v>0.98521233098536254</v>
      </c>
      <c r="I98" s="146" t="s">
        <v>162</v>
      </c>
      <c r="J98" s="147" t="e">
        <f>J96/J97</f>
        <v>#N/A</v>
      </c>
      <c r="L98" s="146" t="s">
        <v>162</v>
      </c>
      <c r="M98" s="147">
        <f>M96/M97</f>
        <v>1.0101010101010102</v>
      </c>
      <c r="N98" s="143" t="e">
        <f>N96/N97</f>
        <v>#N/A</v>
      </c>
    </row>
    <row r="100" spans="1:14" x14ac:dyDescent="0.25">
      <c r="B100" s="39" t="e">
        <f>B36+B74</f>
        <v>#N/A</v>
      </c>
      <c r="C100" s="39" t="e">
        <f>C36+C74</f>
        <v>#N/A</v>
      </c>
      <c r="D100" s="39" t="e">
        <f t="shared" ref="D100:M100" si="45">D36+D74</f>
        <v>#N/A</v>
      </c>
      <c r="E100" s="39" t="e">
        <f t="shared" si="45"/>
        <v>#N/A</v>
      </c>
      <c r="F100" s="39" t="e">
        <f t="shared" si="45"/>
        <v>#N/A</v>
      </c>
      <c r="G100" s="39" t="e">
        <f t="shared" si="45"/>
        <v>#N/A</v>
      </c>
      <c r="H100" s="39" t="e">
        <f>H36+H74</f>
        <v>#N/A</v>
      </c>
      <c r="I100" s="39" t="e">
        <f>I36+I74</f>
        <v>#N/A</v>
      </c>
      <c r="J100" s="39" t="e">
        <f t="shared" si="45"/>
        <v>#N/A</v>
      </c>
      <c r="K100" s="39" t="e">
        <f t="shared" si="45"/>
        <v>#N/A</v>
      </c>
      <c r="L100" s="39" t="e">
        <f t="shared" si="45"/>
        <v>#N/A</v>
      </c>
      <c r="M100" s="39" t="e">
        <f t="shared" si="45"/>
        <v>#N/A</v>
      </c>
      <c r="N100" s="39" t="e">
        <f>N36+N74</f>
        <v>#N/A</v>
      </c>
    </row>
    <row r="101" spans="1:14" x14ac:dyDescent="0.25">
      <c r="B101" s="251">
        <f>B39+B77</f>
        <v>0</v>
      </c>
      <c r="C101" s="251">
        <f>C39+C77</f>
        <v>0</v>
      </c>
      <c r="D101" s="251">
        <f t="shared" ref="D101:N101" si="46">D39+D77</f>
        <v>0</v>
      </c>
      <c r="E101" s="251">
        <f t="shared" si="46"/>
        <v>0</v>
      </c>
      <c r="F101" s="251">
        <f t="shared" si="46"/>
        <v>0</v>
      </c>
      <c r="G101" s="251">
        <f t="shared" si="46"/>
        <v>23721.666828000001</v>
      </c>
      <c r="H101" s="251">
        <f t="shared" si="46"/>
        <v>0</v>
      </c>
      <c r="I101" s="251">
        <f t="shared" si="46"/>
        <v>0</v>
      </c>
      <c r="J101" s="251">
        <f t="shared" si="46"/>
        <v>0</v>
      </c>
      <c r="K101" s="251">
        <f t="shared" si="46"/>
        <v>0</v>
      </c>
      <c r="L101" s="251">
        <f t="shared" si="46"/>
        <v>0</v>
      </c>
      <c r="M101" s="251">
        <f t="shared" si="46"/>
        <v>0</v>
      </c>
      <c r="N101" s="251">
        <f t="shared" si="46"/>
        <v>0</v>
      </c>
    </row>
    <row r="102" spans="1:14" x14ac:dyDescent="0.25">
      <c r="A102" t="s">
        <v>351</v>
      </c>
      <c r="B102" s="242" t="e">
        <f>B100/B101</f>
        <v>#N/A</v>
      </c>
      <c r="C102" s="242" t="e">
        <f>C100/C101</f>
        <v>#N/A</v>
      </c>
      <c r="D102" s="242" t="e">
        <f t="shared" ref="D102:N102" si="47">D100/D101</f>
        <v>#N/A</v>
      </c>
      <c r="E102" s="242" t="e">
        <f t="shared" si="47"/>
        <v>#N/A</v>
      </c>
      <c r="F102" s="242" t="e">
        <f t="shared" si="47"/>
        <v>#N/A</v>
      </c>
      <c r="G102" s="242" t="e">
        <f t="shared" si="47"/>
        <v>#N/A</v>
      </c>
      <c r="H102" s="242" t="e">
        <f t="shared" si="47"/>
        <v>#N/A</v>
      </c>
      <c r="I102" s="242" t="e">
        <f t="shared" si="47"/>
        <v>#N/A</v>
      </c>
      <c r="J102" s="242" t="e">
        <f t="shared" si="47"/>
        <v>#N/A</v>
      </c>
      <c r="K102" s="242" t="e">
        <f t="shared" si="47"/>
        <v>#N/A</v>
      </c>
      <c r="L102" s="242" t="e">
        <f t="shared" si="47"/>
        <v>#N/A</v>
      </c>
      <c r="M102" s="242" t="e">
        <f t="shared" si="47"/>
        <v>#N/A</v>
      </c>
      <c r="N102" s="242" t="e">
        <f t="shared" si="47"/>
        <v>#N/A</v>
      </c>
    </row>
    <row r="104" spans="1:14" x14ac:dyDescent="0.25">
      <c r="A104" s="271" t="s">
        <v>228</v>
      </c>
    </row>
    <row r="108" spans="1:14" x14ac:dyDescent="0.25">
      <c r="B108" s="39"/>
      <c r="C108" s="39"/>
    </row>
  </sheetData>
  <mergeCells count="21">
    <mergeCell ref="A9:A10"/>
    <mergeCell ref="B9:B10"/>
    <mergeCell ref="D9:D10"/>
    <mergeCell ref="E9:E10"/>
    <mergeCell ref="G9:G10"/>
    <mergeCell ref="C9:C10"/>
    <mergeCell ref="N9:N10"/>
    <mergeCell ref="P9:P10"/>
    <mergeCell ref="K9:K10"/>
    <mergeCell ref="L9:L10"/>
    <mergeCell ref="M9:M10"/>
    <mergeCell ref="O9:O10"/>
    <mergeCell ref="E2:M2"/>
    <mergeCell ref="E3:M3"/>
    <mergeCell ref="E4:M4"/>
    <mergeCell ref="E5:M5"/>
    <mergeCell ref="F9:F10"/>
    <mergeCell ref="E6:M6"/>
    <mergeCell ref="H9:H10"/>
    <mergeCell ref="I9:I10"/>
    <mergeCell ref="J9:J10"/>
  </mergeCells>
  <phoneticPr fontId="5" type="noConversion"/>
  <printOptions horizontalCentered="1" verticalCentered="1"/>
  <pageMargins left="0.19685039370078741" right="0.19685039370078741" top="0.19685039370078741" bottom="0.19685039370078741" header="0" footer="0"/>
  <pageSetup scale="56" orientation="landscape" horizontalDpi="300" verticalDpi="300" r:id="rId1"/>
  <headerFooter alignWithMargins="0">
    <oddFooter>&amp;RElaboro: Departamento de Planeacion Campeche</oddFooter>
  </headerFooter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Hoja7">
    <tabColor theme="8" tint="0.59999389629810485"/>
    <pageSetUpPr fitToPage="1"/>
  </sheetPr>
  <dimension ref="A1:R69"/>
  <sheetViews>
    <sheetView zoomScale="130" zoomScaleNormal="130" zoomScaleSheetLayoutView="100" workbookViewId="0">
      <selection activeCell="F22" sqref="F22"/>
    </sheetView>
  </sheetViews>
  <sheetFormatPr baseColWidth="10" defaultRowHeight="13.2" x14ac:dyDescent="0.25"/>
  <cols>
    <col min="1" max="1" width="15" customWidth="1"/>
    <col min="2" max="16" width="15.6640625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B3" s="117"/>
      <c r="C3" s="117"/>
      <c r="D3" s="117"/>
      <c r="E3" s="408" t="s">
        <v>1</v>
      </c>
      <c r="F3" s="408"/>
      <c r="G3" s="408"/>
      <c r="H3" s="408"/>
      <c r="I3" s="408"/>
      <c r="J3" s="408"/>
      <c r="K3" s="408"/>
      <c r="L3" s="408"/>
      <c r="M3" s="408"/>
      <c r="N3" s="135"/>
      <c r="O3" s="20"/>
    </row>
    <row r="4" spans="1:16" x14ac:dyDescent="0.25">
      <c r="B4" s="117"/>
      <c r="C4" s="117"/>
      <c r="D4" s="117"/>
      <c r="E4" s="408" t="s">
        <v>22</v>
      </c>
      <c r="F4" s="408"/>
      <c r="G4" s="408"/>
      <c r="H4" s="408"/>
      <c r="I4" s="408"/>
      <c r="J4" s="408"/>
      <c r="K4" s="408"/>
      <c r="L4" s="408"/>
      <c r="M4" s="408"/>
      <c r="N4" s="135"/>
      <c r="O4" s="20"/>
    </row>
    <row r="5" spans="1:16" x14ac:dyDescent="0.25">
      <c r="B5" s="77"/>
      <c r="C5" s="77"/>
      <c r="D5" s="77"/>
      <c r="E5" s="408" t="s">
        <v>25</v>
      </c>
      <c r="F5" s="408"/>
      <c r="G5" s="408"/>
      <c r="H5" s="408"/>
      <c r="I5" s="408"/>
      <c r="J5" s="408"/>
      <c r="K5" s="408"/>
      <c r="L5" s="408"/>
      <c r="M5" s="408"/>
      <c r="N5" s="135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232</v>
      </c>
      <c r="B12" s="262"/>
      <c r="C12" s="262"/>
      <c r="D12" s="262"/>
      <c r="E12" s="262"/>
      <c r="F12" s="65"/>
      <c r="G12" s="66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429.69047599999999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429.69047599999999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201910.97939200001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201910.97939200001</v>
      </c>
      <c r="P14" s="43">
        <f>SUM(B14:N14)/(COUNTIF(B14:N14,"&gt;0"))</f>
        <v>201910.97939200001</v>
      </c>
    </row>
    <row r="15" spans="1:16" x14ac:dyDescent="0.25">
      <c r="A15" s="3" t="s">
        <v>16</v>
      </c>
      <c r="B15" s="37" t="e">
        <f t="shared" ref="B15:N15" si="0">+((B13/B17)^2-(B13^2))^(0.5)</f>
        <v>#DIV/0!</v>
      </c>
      <c r="C15" s="37" t="e">
        <f t="shared" si="0"/>
        <v>#DIV/0!</v>
      </c>
      <c r="D15" s="37" t="e">
        <f t="shared" si="0"/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90.530364244357926</v>
      </c>
      <c r="H15" s="37" t="e">
        <f t="shared" si="0"/>
        <v>#DIV/0!</v>
      </c>
      <c r="I15" s="37" t="e">
        <f t="shared" si="0"/>
        <v>#DIV/0!</v>
      </c>
      <c r="J15" s="37" t="e">
        <f t="shared" si="0"/>
        <v>#DIV/0!</v>
      </c>
      <c r="K15" s="37" t="e">
        <f t="shared" si="0"/>
        <v>#DIV/0!</v>
      </c>
      <c r="L15" s="37" t="e">
        <f t="shared" si="0"/>
        <v>#DIV/0!</v>
      </c>
      <c r="M15" s="37" t="e">
        <f t="shared" si="0"/>
        <v>#DIV/0!</v>
      </c>
      <c r="N15" s="37" t="e">
        <f t="shared" si="0"/>
        <v>#DIV/0!</v>
      </c>
      <c r="O15" s="37"/>
      <c r="P15" s="4">
        <f>HLOOKUP(P13,B13:N15,3,FALSE)</f>
        <v>90.530364244357926</v>
      </c>
    </row>
    <row r="16" spans="1:16" x14ac:dyDescent="0.25">
      <c r="A16" s="3" t="s">
        <v>8</v>
      </c>
      <c r="B16" s="37">
        <f t="shared" ref="B16:N16" si="1">+B14/(24*B$8)</f>
        <v>0</v>
      </c>
      <c r="C16" s="37">
        <f t="shared" si="1"/>
        <v>0</v>
      </c>
      <c r="D16" s="37">
        <f t="shared" si="1"/>
        <v>0</v>
      </c>
      <c r="E16" s="37">
        <f t="shared" si="1"/>
        <v>0</v>
      </c>
      <c r="F16" s="37">
        <f t="shared" si="1"/>
        <v>0</v>
      </c>
      <c r="G16" s="37">
        <f t="shared" si="1"/>
        <v>271.38572498924731</v>
      </c>
      <c r="H16" s="37">
        <f t="shared" si="1"/>
        <v>0</v>
      </c>
      <c r="I16" s="37">
        <f t="shared" si="1"/>
        <v>0</v>
      </c>
      <c r="J16" s="37">
        <f t="shared" si="1"/>
        <v>0</v>
      </c>
      <c r="K16" s="37">
        <f t="shared" si="1"/>
        <v>0</v>
      </c>
      <c r="L16" s="37">
        <f t="shared" si="1"/>
        <v>0</v>
      </c>
      <c r="M16" s="37">
        <f t="shared" si="1"/>
        <v>0</v>
      </c>
      <c r="N16" s="37">
        <f t="shared" si="1"/>
        <v>0</v>
      </c>
      <c r="O16" s="6">
        <f>SUM(O14)/(24*O$8)</f>
        <v>23.049198560730595</v>
      </c>
      <c r="P16" s="4">
        <f>O14/(COUNTIF(B14:N14,"&gt;0")*720)</f>
        <v>280.43191582222221</v>
      </c>
    </row>
    <row r="17" spans="1:16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0.978518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0.97851799999999989</v>
      </c>
    </row>
    <row r="18" spans="1:16" x14ac:dyDescent="0.25">
      <c r="A18" s="3" t="s">
        <v>17</v>
      </c>
      <c r="B18" s="37" t="e">
        <f t="shared" ref="B18:N18" si="2">+B16/B13</f>
        <v>#DIV/0!</v>
      </c>
      <c r="C18" s="37" t="e">
        <f t="shared" si="2"/>
        <v>#DIV/0!</v>
      </c>
      <c r="D18" s="37" t="e">
        <f t="shared" si="2"/>
        <v>#DIV/0!</v>
      </c>
      <c r="E18" s="37" t="e">
        <f t="shared" si="2"/>
        <v>#DIV/0!</v>
      </c>
      <c r="F18" s="37" t="e">
        <f t="shared" si="2"/>
        <v>#DIV/0!</v>
      </c>
      <c r="G18" s="37">
        <f t="shared" si="2"/>
        <v>0.63158422200925701</v>
      </c>
      <c r="H18" s="37" t="e">
        <f t="shared" si="2"/>
        <v>#DIV/0!</v>
      </c>
      <c r="I18" s="37" t="e">
        <f t="shared" si="2"/>
        <v>#DIV/0!</v>
      </c>
      <c r="J18" s="37" t="e">
        <f t="shared" si="2"/>
        <v>#DIV/0!</v>
      </c>
      <c r="K18" s="37" t="e">
        <f t="shared" si="2"/>
        <v>#DIV/0!</v>
      </c>
      <c r="L18" s="37" t="e">
        <f t="shared" si="2"/>
        <v>#DIV/0!</v>
      </c>
      <c r="M18" s="37" t="e">
        <f t="shared" si="2"/>
        <v>#DIV/0!</v>
      </c>
      <c r="N18" s="37" t="e">
        <f t="shared" si="2"/>
        <v>#DIV/0!</v>
      </c>
      <c r="O18" s="6"/>
      <c r="P18" s="4">
        <f>+P16/P13</f>
        <v>0.65263702940956558</v>
      </c>
    </row>
    <row r="19" spans="1:16" s="24" customFormat="1" x14ac:dyDescent="0.25">
      <c r="A19" s="271" t="s">
        <v>233</v>
      </c>
      <c r="B19" s="65"/>
      <c r="C19" s="65"/>
      <c r="D19" s="65"/>
      <c r="E19" s="65"/>
      <c r="F19" s="65"/>
      <c r="G19" s="66"/>
      <c r="H19" s="66"/>
      <c r="I19" s="66"/>
      <c r="J19" s="66"/>
      <c r="K19" s="36"/>
      <c r="L19" s="50"/>
      <c r="M19" s="50"/>
      <c r="N19" s="50"/>
      <c r="O19" s="50"/>
      <c r="P19" s="50"/>
    </row>
    <row r="20" spans="1:16" x14ac:dyDescent="0.25">
      <c r="A20" s="3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1346.6666660000001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1346.6666660000001</v>
      </c>
    </row>
    <row r="21" spans="1:16" x14ac:dyDescent="0.25">
      <c r="A21" s="3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578916.96938400005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578916.96938400005</v>
      </c>
      <c r="P21" s="43">
        <f>SUM(B21:N21)/(COUNTIF(B21:N21,"&gt;0"))</f>
        <v>578916.96938400005</v>
      </c>
    </row>
    <row r="22" spans="1:16" x14ac:dyDescent="0.25">
      <c r="A22" s="3" t="s">
        <v>16</v>
      </c>
      <c r="B22" s="37" t="e">
        <f t="shared" ref="B22:K22" si="3">+((B20/B24)^2-(B20^2))^(0.5)</f>
        <v>#DIV/0!</v>
      </c>
      <c r="C22" s="37" t="e">
        <f>+((C20/C24)^2-(C20^2))^(0.5)</f>
        <v>#DIV/0!</v>
      </c>
      <c r="D22" s="37" t="e">
        <f t="shared" si="3"/>
        <v>#DIV/0!</v>
      </c>
      <c r="E22" s="37" t="e">
        <f t="shared" si="3"/>
        <v>#DIV/0!</v>
      </c>
      <c r="F22" s="37" t="e">
        <f t="shared" si="3"/>
        <v>#DIV/0!</v>
      </c>
      <c r="G22" s="37">
        <f t="shared" si="3"/>
        <v>520.00294753547564</v>
      </c>
      <c r="H22" s="37" t="e">
        <f t="shared" si="3"/>
        <v>#DIV/0!</v>
      </c>
      <c r="I22" s="37" t="e">
        <f t="shared" si="3"/>
        <v>#DIV/0!</v>
      </c>
      <c r="J22" s="37" t="e">
        <f t="shared" si="3"/>
        <v>#DIV/0!</v>
      </c>
      <c r="K22" s="37" t="e">
        <f t="shared" si="3"/>
        <v>#DIV/0!</v>
      </c>
      <c r="L22" s="37" t="e">
        <f>+((L20/L24)^2-(L20^2))^(0.5)</f>
        <v>#DIV/0!</v>
      </c>
      <c r="M22" s="37" t="e">
        <f>+((M20/M24)^2-(M20^2))^(0.5)</f>
        <v>#DIV/0!</v>
      </c>
      <c r="N22" s="37" t="e">
        <f>+((N20/N24)^2-(N20^2))^(0.5)</f>
        <v>#DIV/0!</v>
      </c>
      <c r="O22" s="37"/>
      <c r="P22" s="4">
        <f>HLOOKUP(P20,B20:N22,3,FALSE)</f>
        <v>520.00294753547564</v>
      </c>
    </row>
    <row r="23" spans="1:16" x14ac:dyDescent="0.25">
      <c r="A23" s="3" t="s">
        <v>8</v>
      </c>
      <c r="B23" s="37">
        <f>+B21/(24*B$8)</f>
        <v>0</v>
      </c>
      <c r="C23" s="37">
        <f>+C21/(24*C$8)</f>
        <v>0</v>
      </c>
      <c r="D23" s="37">
        <f>+D21/(24*D$8)</f>
        <v>0</v>
      </c>
      <c r="E23" s="37">
        <f>+E21/(24*E$8)</f>
        <v>0</v>
      </c>
      <c r="F23" s="37">
        <f t="shared" ref="F23:K23" si="4">+F21/(24*F$8)</f>
        <v>0</v>
      </c>
      <c r="G23" s="37">
        <f t="shared" si="4"/>
        <v>778.11420616129044</v>
      </c>
      <c r="H23" s="37">
        <f t="shared" si="4"/>
        <v>0</v>
      </c>
      <c r="I23" s="37">
        <f t="shared" si="4"/>
        <v>0</v>
      </c>
      <c r="J23" s="37">
        <f t="shared" si="4"/>
        <v>0</v>
      </c>
      <c r="K23" s="37">
        <f t="shared" si="4"/>
        <v>0</v>
      </c>
      <c r="L23" s="37">
        <f>+L21/(24*L$8)</f>
        <v>0</v>
      </c>
      <c r="M23" s="37">
        <f>+M21/(24*M$8)</f>
        <v>0</v>
      </c>
      <c r="N23" s="37">
        <f>+N21/(24*N$8)</f>
        <v>0</v>
      </c>
      <c r="O23" s="6">
        <f>SUM(O21)/(24*O$8)</f>
        <v>66.086412030136998</v>
      </c>
      <c r="P23" s="4">
        <f>O21/(COUNTIF(B21:N21,"&gt;0")*720)</f>
        <v>804.05134636666673</v>
      </c>
    </row>
    <row r="24" spans="1:16" x14ac:dyDescent="0.25">
      <c r="A24" s="3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0.93286800000000003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0.93286800000000014</v>
      </c>
    </row>
    <row r="25" spans="1:16" x14ac:dyDescent="0.25">
      <c r="A25" s="3" t="s">
        <v>17</v>
      </c>
      <c r="B25" s="37" t="e">
        <f t="shared" ref="B25:K25" si="5">+B23/B20</f>
        <v>#DIV/0!</v>
      </c>
      <c r="C25" s="37" t="e">
        <f>+C23/C20</f>
        <v>#DIV/0!</v>
      </c>
      <c r="D25" s="37" t="e">
        <f t="shared" si="5"/>
        <v>#DIV/0!</v>
      </c>
      <c r="E25" s="37" t="e">
        <f t="shared" si="5"/>
        <v>#DIV/0!</v>
      </c>
      <c r="F25" s="37" t="e">
        <f t="shared" si="5"/>
        <v>#DIV/0!</v>
      </c>
      <c r="G25" s="37">
        <f t="shared" si="5"/>
        <v>0.57780757911868474</v>
      </c>
      <c r="H25" s="37" t="e">
        <f t="shared" si="5"/>
        <v>#DIV/0!</v>
      </c>
      <c r="I25" s="37" t="e">
        <f t="shared" si="5"/>
        <v>#DIV/0!</v>
      </c>
      <c r="J25" s="37" t="e">
        <f t="shared" si="5"/>
        <v>#DIV/0!</v>
      </c>
      <c r="K25" s="37" t="e">
        <f t="shared" si="5"/>
        <v>#DIV/0!</v>
      </c>
      <c r="L25" s="37" t="e">
        <f>+L23/L20</f>
        <v>#DIV/0!</v>
      </c>
      <c r="M25" s="37" t="e">
        <f>+M23/M20</f>
        <v>#DIV/0!</v>
      </c>
      <c r="N25" s="37" t="e">
        <f>+N23/N20</f>
        <v>#DIV/0!</v>
      </c>
      <c r="O25" s="6"/>
      <c r="P25" s="4">
        <f>+P23/P20</f>
        <v>0.59706783175597422</v>
      </c>
    </row>
    <row r="26" spans="1:16" s="24" customFormat="1" x14ac:dyDescent="0.25">
      <c r="A26" s="271" t="s">
        <v>234</v>
      </c>
      <c r="B26" s="65"/>
      <c r="C26" s="65"/>
      <c r="D26" s="65"/>
      <c r="E26" s="65"/>
      <c r="F26" s="65"/>
      <c r="G26" s="66"/>
      <c r="H26" s="66"/>
      <c r="I26" s="66"/>
      <c r="J26" s="66"/>
      <c r="K26" s="36"/>
      <c r="L26" s="50"/>
      <c r="M26" s="50"/>
      <c r="N26" s="50"/>
      <c r="O26" s="50"/>
      <c r="P26" s="50"/>
    </row>
    <row r="27" spans="1:16" x14ac:dyDescent="0.25">
      <c r="A27" s="3" t="s">
        <v>6</v>
      </c>
      <c r="B27" s="381">
        <f>VLOOKUP($A$26,TABLA_1[],5,FALSE)</f>
        <v>0</v>
      </c>
      <c r="C27" s="381">
        <f>VLOOKUP($A$26,TABLA_2[],5,FALSE)</f>
        <v>0</v>
      </c>
      <c r="D27" s="381">
        <f>VLOOKUP($A$26,TABLA_3[],5,FALSE)</f>
        <v>0</v>
      </c>
      <c r="E27" s="381">
        <f>VLOOKUP($A$26,TABLA_4[],5,FALSE)</f>
        <v>0</v>
      </c>
      <c r="F27" s="381">
        <f>VLOOKUP($A$26,TABLA_5[],5,FALSE)</f>
        <v>0</v>
      </c>
      <c r="G27" s="381">
        <f>VLOOKUP($A$26,TABLA_6[],5,FALSE)</f>
        <v>2490</v>
      </c>
      <c r="H27" s="381">
        <f>VLOOKUP($A$26,TABLA_7[],5,FALSE)</f>
        <v>0</v>
      </c>
      <c r="I27" s="381">
        <f>VLOOKUP($A$26,TABLA_8[],5,FALSE)</f>
        <v>0</v>
      </c>
      <c r="J27" s="381">
        <f>VLOOKUP($A$26,TABLA_9[],5,FALSE)</f>
        <v>0</v>
      </c>
      <c r="K27" s="381">
        <f>VLOOKUP($A$26,TABLA_10[],5,FALSE)</f>
        <v>0</v>
      </c>
      <c r="L27" s="381">
        <f>VLOOKUP($A$26,TABLA_11[],5,FALSE)</f>
        <v>0</v>
      </c>
      <c r="M27" s="381">
        <f>VLOOKUP($A$26,TABLA_12[],5,FALSE)</f>
        <v>0</v>
      </c>
      <c r="N27" s="381">
        <f>VLOOKUP($A$26,TABLA_13[],5,FALSE)</f>
        <v>0</v>
      </c>
      <c r="O27" s="6"/>
      <c r="P27" s="43">
        <f>MAX(B27:N27)</f>
        <v>2490</v>
      </c>
    </row>
    <row r="28" spans="1:16" x14ac:dyDescent="0.25">
      <c r="A28" s="3" t="s">
        <v>7</v>
      </c>
      <c r="B28" s="382">
        <f>VLOOKUP($A$26,TABLA_1[],8,FALSE)</f>
        <v>0</v>
      </c>
      <c r="C28" s="382">
        <f>VLOOKUP($A$26,TABLA_2[],8,FALSE)</f>
        <v>0</v>
      </c>
      <c r="D28" s="382">
        <f>VLOOKUP($A$26,TABLA_3[],8,FALSE)</f>
        <v>0</v>
      </c>
      <c r="E28" s="382">
        <f>VLOOKUP($A$26,TABLA_4[],8,FALSE)</f>
        <v>0</v>
      </c>
      <c r="F28" s="382">
        <f>VLOOKUP($A$26,TABLA_5[],8,FALSE)</f>
        <v>0</v>
      </c>
      <c r="G28" s="382">
        <f>VLOOKUP($A$26,TABLA_6[],8,FALSE)</f>
        <v>1332571.9968580001</v>
      </c>
      <c r="H28" s="382">
        <f>VLOOKUP($A$26,TABLA_7[],8,FALSE)</f>
        <v>0</v>
      </c>
      <c r="I28" s="382">
        <f>VLOOKUP($A$26,TABLA_8[],8,FALSE)</f>
        <v>0</v>
      </c>
      <c r="J28" s="382">
        <f>VLOOKUP($A$26,TABLA_9[],8,FALSE)</f>
        <v>0</v>
      </c>
      <c r="K28" s="382">
        <f>VLOOKUP($A$26,TABLA_10[],8,FALSE)</f>
        <v>0</v>
      </c>
      <c r="L28" s="382">
        <f>VLOOKUP($A$26,TABLA_11[],8,FALSE)</f>
        <v>0</v>
      </c>
      <c r="M28" s="382">
        <f>VLOOKUP($A$26,TABLA_12[],8,FALSE)</f>
        <v>0</v>
      </c>
      <c r="N28" s="382">
        <f>VLOOKUP($A$26,TABLA_13[],8,FALSE)</f>
        <v>0</v>
      </c>
      <c r="O28" s="47">
        <f>SUM(B28:N28)</f>
        <v>1332571.9968580001</v>
      </c>
      <c r="P28" s="43">
        <f>SUM(B28:N28)/(COUNTIF(B28:N28,"&gt;0"))</f>
        <v>1332571.9968580001</v>
      </c>
    </row>
    <row r="29" spans="1:16" x14ac:dyDescent="0.25">
      <c r="A29" s="3" t="s">
        <v>16</v>
      </c>
      <c r="B29" s="37" t="e">
        <f t="shared" ref="B29:K29" si="6">+((B27/B31)^2-(B27^2))^(0.5)</f>
        <v>#DIV/0!</v>
      </c>
      <c r="C29" s="37" t="e">
        <f>+((C27/C31)^2-(C27^2))^(0.5)</f>
        <v>#DIV/0!</v>
      </c>
      <c r="D29" s="37" t="e">
        <f t="shared" si="6"/>
        <v>#DIV/0!</v>
      </c>
      <c r="E29" s="37" t="e">
        <f t="shared" si="6"/>
        <v>#DIV/0!</v>
      </c>
      <c r="F29" s="37" t="e">
        <f t="shared" si="6"/>
        <v>#DIV/0!</v>
      </c>
      <c r="G29" s="37">
        <f t="shared" si="6"/>
        <v>276.6834360414893</v>
      </c>
      <c r="H29" s="37" t="e">
        <f t="shared" si="6"/>
        <v>#DIV/0!</v>
      </c>
      <c r="I29" s="37" t="e">
        <f t="shared" si="6"/>
        <v>#DIV/0!</v>
      </c>
      <c r="J29" s="37" t="e">
        <f>+((J27/J31)^2-(J27^2))^(0.5)</f>
        <v>#DIV/0!</v>
      </c>
      <c r="K29" s="37" t="e">
        <f t="shared" si="6"/>
        <v>#DIV/0!</v>
      </c>
      <c r="L29" s="37" t="e">
        <f>+((L27/L31)^2-(L27^2))^(0.5)</f>
        <v>#DIV/0!</v>
      </c>
      <c r="M29" s="37">
        <f>+((M27/M31)^2-(M27^2))^(0.5)</f>
        <v>0</v>
      </c>
      <c r="N29" s="37">
        <f>+((N27/N31)^2-(N27^2))^(0.5)</f>
        <v>0</v>
      </c>
      <c r="O29" s="37"/>
      <c r="P29" s="4">
        <f>HLOOKUP(P27,B27:N29,3,FALSE)</f>
        <v>276.6834360414893</v>
      </c>
    </row>
    <row r="30" spans="1:16" x14ac:dyDescent="0.25">
      <c r="A30" s="3" t="s">
        <v>8</v>
      </c>
      <c r="B30" s="37">
        <f>+B28/(24*B$8)</f>
        <v>0</v>
      </c>
      <c r="C30" s="37">
        <f>+C28/(24*C$8)</f>
        <v>0</v>
      </c>
      <c r="D30" s="37">
        <f>+D28/(24*D$8)</f>
        <v>0</v>
      </c>
      <c r="E30" s="37">
        <f>+E28/(24*E$8)</f>
        <v>0</v>
      </c>
      <c r="F30" s="37">
        <f t="shared" ref="F30:K30" si="7">+F28/(24*F$8)</f>
        <v>0</v>
      </c>
      <c r="G30" s="37">
        <f t="shared" si="7"/>
        <v>1791.0913936263441</v>
      </c>
      <c r="H30" s="37">
        <f t="shared" si="7"/>
        <v>0</v>
      </c>
      <c r="I30" s="37">
        <f t="shared" si="7"/>
        <v>0</v>
      </c>
      <c r="J30" s="37">
        <f t="shared" si="7"/>
        <v>0</v>
      </c>
      <c r="K30" s="37">
        <f t="shared" si="7"/>
        <v>0</v>
      </c>
      <c r="L30" s="37">
        <f>+L28/(24*L$8)</f>
        <v>0</v>
      </c>
      <c r="M30" s="37">
        <f>+M28/(24*M$8)</f>
        <v>0</v>
      </c>
      <c r="N30" s="37">
        <f>+N28/(24*N$8)</f>
        <v>0</v>
      </c>
      <c r="O30" s="6">
        <f>SUM(O28)/(24*O$8)</f>
        <v>152.12009096552512</v>
      </c>
      <c r="P30" s="4">
        <f>O28/(COUNTIF(B28:N28,"&gt;0")*720)</f>
        <v>1850.7944400805557</v>
      </c>
    </row>
    <row r="31" spans="1:16" x14ac:dyDescent="0.25">
      <c r="A31" s="3" t="s">
        <v>9</v>
      </c>
      <c r="B31" s="383">
        <f>VLOOKUP($A$26,TABLA_1[],10,FALSE)</f>
        <v>0</v>
      </c>
      <c r="C31" s="383">
        <f>VLOOKUP($A$26,TABLA_2[],10,FALSE)</f>
        <v>0</v>
      </c>
      <c r="D31" s="383">
        <f>VLOOKUP($A$26,TABLA_3[],10,FALSE)</f>
        <v>0</v>
      </c>
      <c r="E31" s="383">
        <f>VLOOKUP($A$26,TABLA_4[],10,FALSE)</f>
        <v>0</v>
      </c>
      <c r="F31" s="383">
        <f>VLOOKUP($A$26,TABLA_5[],10,FALSE)</f>
        <v>0</v>
      </c>
      <c r="G31" s="383">
        <f>VLOOKUP($A$26,TABLA_6[],10,FALSE)</f>
        <v>0.99388299999999996</v>
      </c>
      <c r="H31" s="383">
        <f>VLOOKUP($A$26,TABLA_7[],10,FALSE)</f>
        <v>0</v>
      </c>
      <c r="I31" s="383">
        <f>VLOOKUP($A$26,TABLA_8[],10,FALSE)</f>
        <v>0</v>
      </c>
      <c r="J31" s="383">
        <f>VLOOKUP($A$26,TABLA_9[],10,FALSE)</f>
        <v>0</v>
      </c>
      <c r="K31" s="383">
        <f>VLOOKUP($A$26,TABLA_10[],10,FALSE)</f>
        <v>0</v>
      </c>
      <c r="L31" s="383">
        <f>VLOOKUP($A$26,TABLA_11[],10,FALSE)</f>
        <v>0</v>
      </c>
      <c r="M31" s="383">
        <f>VLOOKUP($A$26,TABLA_6[],10,FALSE)</f>
        <v>0.99388299999999996</v>
      </c>
      <c r="N31" s="383">
        <f>VLOOKUP($A$26,TABLA_6[],10,FALSE)</f>
        <v>0.99388299999999996</v>
      </c>
      <c r="O31" s="6"/>
      <c r="P31" s="4">
        <f>COS(ATAN(P29/P27))</f>
        <v>0.99388299999999996</v>
      </c>
    </row>
    <row r="32" spans="1:16" x14ac:dyDescent="0.25">
      <c r="A32" s="3" t="s">
        <v>17</v>
      </c>
      <c r="B32" s="37" t="e">
        <f t="shared" ref="B32:K32" si="8">+B30/B27</f>
        <v>#DIV/0!</v>
      </c>
      <c r="C32" s="37" t="e">
        <f>+C30/C27</f>
        <v>#DIV/0!</v>
      </c>
      <c r="D32" s="37" t="e">
        <f t="shared" si="8"/>
        <v>#DIV/0!</v>
      </c>
      <c r="E32" s="37" t="e">
        <f t="shared" si="8"/>
        <v>#DIV/0!</v>
      </c>
      <c r="F32" s="37" t="e">
        <f t="shared" si="8"/>
        <v>#DIV/0!</v>
      </c>
      <c r="G32" s="37">
        <f>+G30/G27</f>
        <v>0.71931381270134298</v>
      </c>
      <c r="H32" s="37" t="e">
        <f t="shared" si="8"/>
        <v>#DIV/0!</v>
      </c>
      <c r="I32" s="37" t="e">
        <f t="shared" si="8"/>
        <v>#DIV/0!</v>
      </c>
      <c r="J32" s="37" t="e">
        <f t="shared" si="8"/>
        <v>#DIV/0!</v>
      </c>
      <c r="K32" s="37" t="e">
        <f t="shared" si="8"/>
        <v>#DIV/0!</v>
      </c>
      <c r="L32" s="37" t="e">
        <f>+L30/L27</f>
        <v>#DIV/0!</v>
      </c>
      <c r="M32" s="37" t="e">
        <f>+M30/M27</f>
        <v>#DIV/0!</v>
      </c>
      <c r="N32" s="37" t="e">
        <f>+N30/N27</f>
        <v>#DIV/0!</v>
      </c>
      <c r="O32" s="6"/>
      <c r="P32" s="4">
        <f>+P30/P27</f>
        <v>0.74329093979138783</v>
      </c>
    </row>
    <row r="33" spans="1:18" s="24" customFormat="1" x14ac:dyDescent="0.25">
      <c r="A33" s="271" t="s">
        <v>235</v>
      </c>
      <c r="B33" s="65"/>
      <c r="C33" s="65"/>
      <c r="D33" s="65"/>
      <c r="E33" s="65"/>
      <c r="F33" s="65"/>
      <c r="G33" s="66"/>
      <c r="H33" s="66"/>
      <c r="I33" s="66"/>
      <c r="J33" s="66"/>
      <c r="K33" s="36"/>
      <c r="L33" s="50"/>
      <c r="M33" s="50"/>
      <c r="N33" s="50"/>
      <c r="O33" s="50"/>
      <c r="P33" s="50"/>
    </row>
    <row r="34" spans="1:18" x14ac:dyDescent="0.25">
      <c r="A34" s="3" t="s">
        <v>6</v>
      </c>
      <c r="B34" s="380">
        <f>VLOOKUP($A$33,TABLA_1[],5,FALSE)</f>
        <v>0</v>
      </c>
      <c r="C34" s="380">
        <f>VLOOKUP($A$33,TABLA_2[],5,FALSE)</f>
        <v>0</v>
      </c>
      <c r="D34" s="380">
        <f>VLOOKUP($A$33,TABLA_3[],5,FALSE)</f>
        <v>0</v>
      </c>
      <c r="E34" s="380">
        <f>VLOOKUP($A$33,TABLA_4[],5,FALSE)</f>
        <v>0</v>
      </c>
      <c r="F34" s="380">
        <f>VLOOKUP($A$33,TABLA_5[],5,FALSE)</f>
        <v>0</v>
      </c>
      <c r="G34" s="380">
        <f>VLOOKUP($A$33,TABLA_6[],5,FALSE)</f>
        <v>1960</v>
      </c>
      <c r="H34" s="380">
        <f>VLOOKUP($A$33,TABLA_7[],5,FALSE)</f>
        <v>0</v>
      </c>
      <c r="I34" s="380">
        <f>VLOOKUP($A$33,TABLA_8[],5,FALSE)</f>
        <v>0</v>
      </c>
      <c r="J34" s="380">
        <f>VLOOKUP($A$33,TABLA_9[],5,FALSE)</f>
        <v>0</v>
      </c>
      <c r="K34" s="380">
        <f>VLOOKUP($A$33,TABLA_10[],5,FALSE)</f>
        <v>0</v>
      </c>
      <c r="L34" s="380">
        <f>VLOOKUP($A$33,TABLA_11[],5,FALSE)</f>
        <v>0</v>
      </c>
      <c r="M34" s="380">
        <f>VLOOKUP($A$33,TABLA_12[],5,FALSE)</f>
        <v>0</v>
      </c>
      <c r="N34" s="380">
        <f>VLOOKUP($A$33,TABLA_13[],5,FALSE)</f>
        <v>0</v>
      </c>
      <c r="O34" s="6"/>
      <c r="P34" s="43">
        <f>MAX(B34:N34)</f>
        <v>1960</v>
      </c>
    </row>
    <row r="35" spans="1:18" x14ac:dyDescent="0.25">
      <c r="A35" s="3" t="s">
        <v>7</v>
      </c>
      <c r="B35" s="380">
        <f>VLOOKUP($A$33,TABLA_1[],8,FALSE)</f>
        <v>0</v>
      </c>
      <c r="C35" s="380">
        <f>VLOOKUP($A$33,TABLA_2[],8,FALSE)</f>
        <v>0</v>
      </c>
      <c r="D35" s="380">
        <f>VLOOKUP($A$33,TABLA_3[],8,FALSE)</f>
        <v>0</v>
      </c>
      <c r="E35" s="380">
        <f>VLOOKUP($A$33,TABLA_4[],8,FALSE)</f>
        <v>0</v>
      </c>
      <c r="F35" s="380">
        <f>VLOOKUP($A$33,TABLA_5[],8,FALSE)</f>
        <v>0</v>
      </c>
      <c r="G35" s="380">
        <f>VLOOKUP($A$33,TABLA_6[],8,FALSE)</f>
        <v>1837383</v>
      </c>
      <c r="H35" s="380">
        <f>VLOOKUP($A$33,TABLA_7[],8,FALSE)</f>
        <v>0</v>
      </c>
      <c r="I35" s="380">
        <f>VLOOKUP($A$33,TABLA_8[],8,FALSE)</f>
        <v>0</v>
      </c>
      <c r="J35" s="380">
        <f>VLOOKUP($A$33,TABLA_9[],8,FALSE)</f>
        <v>0</v>
      </c>
      <c r="K35" s="380">
        <f>VLOOKUP($A$33,TABLA_10[],8,FALSE)</f>
        <v>0</v>
      </c>
      <c r="L35" s="380">
        <f>VLOOKUP($A$33,TABLA_11[],8,FALSE)</f>
        <v>0</v>
      </c>
      <c r="M35" s="380">
        <f>VLOOKUP($A$33,TABLA_12[],8,FALSE)</f>
        <v>0</v>
      </c>
      <c r="N35" s="380">
        <f>VLOOKUP($A$33,TABLA_13[],8,FALSE)</f>
        <v>0</v>
      </c>
      <c r="O35" s="47">
        <f>SUM(B35:N35)</f>
        <v>1837383</v>
      </c>
      <c r="P35" s="43">
        <f>SUM(B35:N35)/(COUNTIF(B35:N35,"&gt;0"))</f>
        <v>1837383</v>
      </c>
    </row>
    <row r="36" spans="1:18" x14ac:dyDescent="0.25">
      <c r="A36" s="3" t="s">
        <v>16</v>
      </c>
      <c r="B36" s="37" t="e">
        <f t="shared" ref="B36:K36" si="9">+((B34/B38)^2-(B34^2))^(0.5)</f>
        <v>#DIV/0!</v>
      </c>
      <c r="C36" s="37" t="e">
        <f>+((C34/C38)^2-(C34^2))^(0.5)</f>
        <v>#DIV/0!</v>
      </c>
      <c r="D36" s="37" t="e">
        <f t="shared" si="9"/>
        <v>#DIV/0!</v>
      </c>
      <c r="E36" s="37" t="e">
        <f>+((E34/E38)^2-(E34^2))^(0.5)</f>
        <v>#DIV/0!</v>
      </c>
      <c r="F36" s="37" t="e">
        <f t="shared" si="9"/>
        <v>#DIV/0!</v>
      </c>
      <c r="G36" s="37">
        <f t="shared" si="9"/>
        <v>0</v>
      </c>
      <c r="H36" s="37" t="e">
        <f t="shared" si="9"/>
        <v>#DIV/0!</v>
      </c>
      <c r="I36" s="37" t="e">
        <f t="shared" si="9"/>
        <v>#DIV/0!</v>
      </c>
      <c r="J36" s="37" t="e">
        <f t="shared" si="9"/>
        <v>#DIV/0!</v>
      </c>
      <c r="K36" s="37" t="e">
        <f t="shared" si="9"/>
        <v>#DIV/0!</v>
      </c>
      <c r="L36" s="37" t="e">
        <f>+((L34/L38)^2-(L34^2))^(0.5)</f>
        <v>#DIV/0!</v>
      </c>
      <c r="M36" s="37" t="e">
        <f>+((M34/M38)^2-(M34^2))^(0.5)</f>
        <v>#DIV/0!</v>
      </c>
      <c r="N36" s="37" t="e">
        <f>+((N34/N38)^2-(N34^2))^(0.5)</f>
        <v>#DIV/0!</v>
      </c>
      <c r="O36" s="37"/>
      <c r="P36" s="4">
        <f>HLOOKUP(P34,B34:N36,3,FALSE)</f>
        <v>0</v>
      </c>
    </row>
    <row r="37" spans="1:18" x14ac:dyDescent="0.25">
      <c r="A37" s="3" t="s">
        <v>8</v>
      </c>
      <c r="B37" s="37">
        <f>+B35/(24*B$8)</f>
        <v>0</v>
      </c>
      <c r="C37" s="37">
        <f>+C35/(24*C$8)</f>
        <v>0</v>
      </c>
      <c r="D37" s="37">
        <f>+D35/(24*D$8)</f>
        <v>0</v>
      </c>
      <c r="E37" s="37">
        <f>+E35/(24*E$8)</f>
        <v>0</v>
      </c>
      <c r="F37" s="37">
        <f t="shared" ref="F37:K37" si="10">+F35/(24*F$8)</f>
        <v>0</v>
      </c>
      <c r="G37" s="37">
        <f t="shared" si="10"/>
        <v>2469.6008064516127</v>
      </c>
      <c r="H37" s="37">
        <f t="shared" si="10"/>
        <v>0</v>
      </c>
      <c r="I37" s="37">
        <f t="shared" si="10"/>
        <v>0</v>
      </c>
      <c r="J37" s="37">
        <f t="shared" si="10"/>
        <v>0</v>
      </c>
      <c r="K37" s="37">
        <f t="shared" si="10"/>
        <v>0</v>
      </c>
      <c r="L37" s="37">
        <f>+L35/(24*L$8)</f>
        <v>0</v>
      </c>
      <c r="M37" s="37">
        <f>+M35/(24*M$8)</f>
        <v>0</v>
      </c>
      <c r="N37" s="37">
        <f>+N35/(24*N$8)</f>
        <v>0</v>
      </c>
      <c r="O37" s="6">
        <f>SUM(O35)/(24*O$8)</f>
        <v>209.74691780821917</v>
      </c>
      <c r="P37" s="4">
        <f>O35/(COUNTIF(B35:N35,"&gt;0")*720)</f>
        <v>2551.9208333333331</v>
      </c>
    </row>
    <row r="38" spans="1:18" x14ac:dyDescent="0.25">
      <c r="A38" s="3" t="s">
        <v>9</v>
      </c>
      <c r="B38" s="380">
        <f>VLOOKUP($A$33,TABLA_1[],10,FALSE)</f>
        <v>0</v>
      </c>
      <c r="C38" s="380">
        <f>VLOOKUP($A$33,TABLA_2[],10,FALSE)</f>
        <v>0</v>
      </c>
      <c r="D38" s="380">
        <f>VLOOKUP($A$33,TABLA_3[],10,FALSE)</f>
        <v>0</v>
      </c>
      <c r="E38" s="380">
        <f>VLOOKUP($A$33,TABLA_4[],10,FALSE)</f>
        <v>0</v>
      </c>
      <c r="F38" s="380">
        <f>VLOOKUP($A$33,TABLA_5[],10,FALSE)</f>
        <v>0</v>
      </c>
      <c r="G38" s="380">
        <f>VLOOKUP($A$33,TABLA_6[],10,FALSE)</f>
        <v>1</v>
      </c>
      <c r="H38" s="380">
        <f>VLOOKUP($A$33,TABLA_7[],10,FALSE)</f>
        <v>0</v>
      </c>
      <c r="I38" s="380">
        <f>VLOOKUP($A$33,TABLA_8[],10,FALSE)</f>
        <v>0</v>
      </c>
      <c r="J38" s="380">
        <f>VLOOKUP($A$33,TABLA_9[],10,FALSE)</f>
        <v>0</v>
      </c>
      <c r="K38" s="380">
        <f>VLOOKUP($A$33,TABLA_10[],10,FALSE)</f>
        <v>0</v>
      </c>
      <c r="L38" s="380">
        <f>VLOOKUP($A$33,TABLA_11[],10,FALSE)</f>
        <v>0</v>
      </c>
      <c r="M38" s="380">
        <f>VLOOKUP($A$33,TABLA_12[],10,FALSE)</f>
        <v>0</v>
      </c>
      <c r="N38" s="380">
        <f>VLOOKUP($A$33,TABLA_13[],10,FALSE)</f>
        <v>0</v>
      </c>
      <c r="O38" s="6"/>
      <c r="P38" s="4">
        <f>COS(ATAN(P36/P34))</f>
        <v>1</v>
      </c>
    </row>
    <row r="39" spans="1:18" x14ac:dyDescent="0.25">
      <c r="A39" s="3" t="s">
        <v>17</v>
      </c>
      <c r="B39" s="37" t="e">
        <f t="shared" ref="B39:K39" si="11">+B37/B34</f>
        <v>#DIV/0!</v>
      </c>
      <c r="C39" s="37" t="e">
        <f>+C37/C34</f>
        <v>#DIV/0!</v>
      </c>
      <c r="D39" s="37" t="e">
        <f t="shared" si="11"/>
        <v>#DIV/0!</v>
      </c>
      <c r="E39" s="37" t="e">
        <f t="shared" si="11"/>
        <v>#DIV/0!</v>
      </c>
      <c r="F39" s="37" t="e">
        <f t="shared" si="11"/>
        <v>#DIV/0!</v>
      </c>
      <c r="G39" s="37">
        <f t="shared" si="11"/>
        <v>1.2600004114549044</v>
      </c>
      <c r="H39" s="37" t="e">
        <f t="shared" si="11"/>
        <v>#DIV/0!</v>
      </c>
      <c r="I39" s="37" t="e">
        <f t="shared" si="11"/>
        <v>#DIV/0!</v>
      </c>
      <c r="J39" s="37" t="e">
        <f t="shared" si="11"/>
        <v>#DIV/0!</v>
      </c>
      <c r="K39" s="37" t="e">
        <f t="shared" si="11"/>
        <v>#DIV/0!</v>
      </c>
      <c r="L39" s="37" t="e">
        <f>+L37/L34</f>
        <v>#DIV/0!</v>
      </c>
      <c r="M39" s="37" t="e">
        <f>+M37/M34</f>
        <v>#DIV/0!</v>
      </c>
      <c r="N39" s="37" t="e">
        <f>+N37/N34</f>
        <v>#DIV/0!</v>
      </c>
      <c r="O39" s="6"/>
      <c r="P39" s="4">
        <f>+P37/P34</f>
        <v>1.3020004251700679</v>
      </c>
    </row>
    <row r="40" spans="1:18" x14ac:dyDescent="0.25">
      <c r="A40" s="86"/>
      <c r="B40" s="77"/>
      <c r="C40" s="77"/>
      <c r="D40" s="77"/>
      <c r="E40" s="77"/>
      <c r="F40" s="77"/>
      <c r="G40" s="77"/>
      <c r="H40" s="77"/>
      <c r="I40" s="77"/>
      <c r="J40" s="77"/>
      <c r="K40" s="77"/>
      <c r="L40" s="77"/>
      <c r="M40" s="77"/>
      <c r="N40" s="77"/>
      <c r="O40" s="77"/>
      <c r="P40" s="83"/>
    </row>
    <row r="41" spans="1:18" x14ac:dyDescent="0.25">
      <c r="A41" s="86"/>
      <c r="B41" s="77"/>
      <c r="C41" s="77"/>
      <c r="D41" s="77"/>
      <c r="E41" s="77"/>
      <c r="F41" s="77"/>
      <c r="G41" s="77"/>
      <c r="H41" s="77"/>
      <c r="I41" s="77"/>
      <c r="J41" s="77"/>
      <c r="K41" s="77"/>
      <c r="L41" s="77"/>
      <c r="M41" s="77"/>
      <c r="N41" s="77"/>
      <c r="O41" s="77"/>
      <c r="P41" s="83"/>
    </row>
    <row r="42" spans="1:18" x14ac:dyDescent="0.25">
      <c r="A42" s="7" t="s">
        <v>10</v>
      </c>
      <c r="B42" s="72"/>
      <c r="C42" s="72"/>
      <c r="D42" s="72"/>
      <c r="E42" s="72"/>
      <c r="F42" s="72"/>
      <c r="G42" s="73"/>
      <c r="H42" s="73"/>
      <c r="I42" s="73"/>
      <c r="J42" s="73"/>
      <c r="K42" s="73"/>
      <c r="L42" s="53"/>
      <c r="M42" s="53"/>
      <c r="N42" s="53"/>
      <c r="O42" s="53"/>
      <c r="P42" s="8"/>
    </row>
    <row r="43" spans="1:18" x14ac:dyDescent="0.25">
      <c r="A43" s="9" t="s">
        <v>11</v>
      </c>
      <c r="B43" s="62">
        <f t="shared" ref="B43:N43" si="12">+B13+B20+B27+B34</f>
        <v>0</v>
      </c>
      <c r="C43" s="62">
        <f t="shared" si="12"/>
        <v>0</v>
      </c>
      <c r="D43" s="62">
        <f t="shared" si="12"/>
        <v>0</v>
      </c>
      <c r="E43" s="62">
        <f t="shared" si="12"/>
        <v>0</v>
      </c>
      <c r="F43" s="62">
        <f t="shared" si="12"/>
        <v>0</v>
      </c>
      <c r="G43" s="62">
        <f t="shared" si="12"/>
        <v>6226.3571419999998</v>
      </c>
      <c r="H43" s="62">
        <f t="shared" si="12"/>
        <v>0</v>
      </c>
      <c r="I43" s="62">
        <f t="shared" si="12"/>
        <v>0</v>
      </c>
      <c r="J43" s="62">
        <f t="shared" si="12"/>
        <v>0</v>
      </c>
      <c r="K43" s="62">
        <f t="shared" si="12"/>
        <v>0</v>
      </c>
      <c r="L43" s="62">
        <f t="shared" si="12"/>
        <v>0</v>
      </c>
      <c r="M43" s="62">
        <f t="shared" si="12"/>
        <v>0</v>
      </c>
      <c r="N43" s="62">
        <f t="shared" si="12"/>
        <v>0</v>
      </c>
      <c r="O43" s="62"/>
      <c r="P43" s="42">
        <f>MAX(B43:N43)</f>
        <v>6226.3571419999998</v>
      </c>
    </row>
    <row r="44" spans="1:18" x14ac:dyDescent="0.25">
      <c r="A44" s="9" t="s">
        <v>7</v>
      </c>
      <c r="B44" s="62">
        <f t="shared" ref="B44:N44" si="13">+B14+B21+B28+B35</f>
        <v>0</v>
      </c>
      <c r="C44" s="62">
        <f t="shared" si="13"/>
        <v>0</v>
      </c>
      <c r="D44" s="62">
        <f t="shared" si="13"/>
        <v>0</v>
      </c>
      <c r="E44" s="62">
        <f t="shared" si="13"/>
        <v>0</v>
      </c>
      <c r="F44" s="62">
        <f t="shared" si="13"/>
        <v>0</v>
      </c>
      <c r="G44" s="62">
        <f t="shared" si="13"/>
        <v>3950782.945634</v>
      </c>
      <c r="H44" s="62">
        <f t="shared" si="13"/>
        <v>0</v>
      </c>
      <c r="I44" s="62">
        <f t="shared" si="13"/>
        <v>0</v>
      </c>
      <c r="J44" s="62">
        <f t="shared" si="13"/>
        <v>0</v>
      </c>
      <c r="K44" s="62">
        <f t="shared" si="13"/>
        <v>0</v>
      </c>
      <c r="L44" s="62">
        <f t="shared" si="13"/>
        <v>0</v>
      </c>
      <c r="M44" s="62">
        <f t="shared" si="13"/>
        <v>0</v>
      </c>
      <c r="N44" s="62">
        <f t="shared" si="13"/>
        <v>0</v>
      </c>
      <c r="O44" s="62">
        <f>SUM(B44:N44)</f>
        <v>3950782.945634</v>
      </c>
      <c r="P44" s="42"/>
    </row>
    <row r="45" spans="1:18" s="24" customFormat="1" x14ac:dyDescent="0.25">
      <c r="A45" s="272" t="s">
        <v>12</v>
      </c>
      <c r="B45" s="376" t="s">
        <v>482</v>
      </c>
      <c r="C45" s="246"/>
      <c r="D45" s="246"/>
      <c r="E45" s="246"/>
      <c r="F45" s="246"/>
      <c r="G45" s="247"/>
      <c r="H45" s="247"/>
      <c r="I45" s="247"/>
      <c r="J45" s="247"/>
      <c r="K45" s="36"/>
      <c r="L45" s="36"/>
      <c r="M45" s="36"/>
      <c r="N45" s="36"/>
      <c r="O45" s="36"/>
      <c r="P45" s="36"/>
    </row>
    <row r="46" spans="1:18" x14ac:dyDescent="0.25">
      <c r="A46" s="3" t="s">
        <v>6</v>
      </c>
      <c r="B46" s="380">
        <f>VLOOKUP($B$45,BancoTabla_1[],5,FALSE)</f>
        <v>0</v>
      </c>
      <c r="C46" s="380">
        <f>VLOOKUP($B$45,BancoTabla_2[],5,FALSE)</f>
        <v>0</v>
      </c>
      <c r="D46" s="380">
        <f>VLOOKUP($B$45,BancoTabla_3[],5,FALSE)</f>
        <v>0</v>
      </c>
      <c r="E46" s="380">
        <f>VLOOKUP($B$45,BancoTabla_4[],5,FALSE)</f>
        <v>0</v>
      </c>
      <c r="F46" s="380">
        <f>VLOOKUP($B$45,BancoTabla_5[],5,FALSE)</f>
        <v>0</v>
      </c>
      <c r="G46" s="380">
        <f>VLOOKUP($B$45,BancoTabla_6[],5,FALSE)</f>
        <v>7797.5383300000003</v>
      </c>
      <c r="H46" s="380">
        <f>VLOOKUP($B$45,BancoTabla_7[],5,FALSE)</f>
        <v>0</v>
      </c>
      <c r="I46" s="380">
        <f>VLOOKUP($B$45,BancoTabla_8[],5,FALSE)</f>
        <v>0</v>
      </c>
      <c r="J46" s="380">
        <f>VLOOKUP($B$45,BancoTabla_9[],5,FALSE)</f>
        <v>0</v>
      </c>
      <c r="K46" s="380">
        <f>VLOOKUP($B$45,BancoTabla_10[],5,FALSE)</f>
        <v>0</v>
      </c>
      <c r="L46" s="380">
        <f>VLOOKUP($B$45,BancoTabla_11[],5,FALSE)</f>
        <v>0</v>
      </c>
      <c r="M46" s="380">
        <f>VLOOKUP($B$45,BancoTabla_12[],5,FALSE)</f>
        <v>0</v>
      </c>
      <c r="N46" s="380">
        <f>VLOOKUP($B$45,BancoTabla_13[],5,FALSE)</f>
        <v>0</v>
      </c>
      <c r="O46" s="79"/>
      <c r="P46" s="43">
        <f>MAX(B46:N46)</f>
        <v>7797.5383300000003</v>
      </c>
      <c r="Q46" s="334">
        <f>P46/1000</f>
        <v>7.7975383300000001</v>
      </c>
    </row>
    <row r="47" spans="1:18" x14ac:dyDescent="0.25">
      <c r="A47" s="3" t="s">
        <v>7</v>
      </c>
      <c r="B47" s="380">
        <f>VLOOKUP($B$45,BancoTabla_1[],8,FALSE)</f>
        <v>0</v>
      </c>
      <c r="C47" s="380">
        <f>VLOOKUP($B$45,BancoTabla_2[],8,FALSE)</f>
        <v>0</v>
      </c>
      <c r="D47" s="380">
        <f>VLOOKUP($B$45,BancoTabla_3[],8,FALSE)</f>
        <v>0</v>
      </c>
      <c r="E47" s="380">
        <f>VLOOKUP($B$45,BancoTabla_4[],8,FALSE)</f>
        <v>0</v>
      </c>
      <c r="F47" s="380">
        <f>VLOOKUP($B$45,BancoTabla_5[],8,FALSE)</f>
        <v>0</v>
      </c>
      <c r="G47" s="380">
        <f>VLOOKUP($B$45,BancoTabla_6[],8,FALSE)</f>
        <v>4011683.5717569999</v>
      </c>
      <c r="H47" s="380">
        <f>VLOOKUP($B$45,BancoTabla_7[],8,FALSE)</f>
        <v>0</v>
      </c>
      <c r="I47" s="380">
        <f>VLOOKUP($B$45,BancoTabla_8[],8,FALSE)</f>
        <v>0</v>
      </c>
      <c r="J47" s="380">
        <f>VLOOKUP($B$45,BancoTabla_9[],8,FALSE)</f>
        <v>0</v>
      </c>
      <c r="K47" s="380">
        <f>VLOOKUP($B$45,BancoTabla_10[],8,FALSE)</f>
        <v>0</v>
      </c>
      <c r="L47" s="380">
        <f>VLOOKUP($B$45,BancoTabla_11[],8,FALSE)</f>
        <v>0</v>
      </c>
      <c r="M47" s="380">
        <f>VLOOKUP($B$45,BancoTabla_12[],8,FALSE)</f>
        <v>0</v>
      </c>
      <c r="N47" s="380">
        <f>VLOOKUP($B$45,BancoTabla_13[],8,FALSE)</f>
        <v>0</v>
      </c>
      <c r="O47" s="47">
        <f>SUM(B47:N47)</f>
        <v>4011683.5717569999</v>
      </c>
      <c r="P47" s="4">
        <f>SUM(B47:N47)/(COUNTIF(B47:N47,"&gt;0"))</f>
        <v>4011683.5717569999</v>
      </c>
      <c r="R47" s="39"/>
    </row>
    <row r="48" spans="1:18" x14ac:dyDescent="0.25">
      <c r="A48" s="3" t="s">
        <v>16</v>
      </c>
      <c r="B48" s="37" t="e">
        <f t="shared" ref="B48:K48" si="14">+((B46/B50)^2-(B46^2))^(0.5)</f>
        <v>#DIV/0!</v>
      </c>
      <c r="C48" s="37" t="e">
        <f>+((C46/C50)^2-(C46^2))^(0.5)</f>
        <v>#DIV/0!</v>
      </c>
      <c r="D48" s="37" t="e">
        <f t="shared" si="14"/>
        <v>#DIV/0!</v>
      </c>
      <c r="E48" s="37" t="e">
        <f t="shared" si="14"/>
        <v>#DIV/0!</v>
      </c>
      <c r="F48" s="37" t="e">
        <f t="shared" si="14"/>
        <v>#DIV/0!</v>
      </c>
      <c r="G48" s="37">
        <f t="shared" si="14"/>
        <v>958.91983202472136</v>
      </c>
      <c r="H48" s="37" t="e">
        <f t="shared" si="14"/>
        <v>#DIV/0!</v>
      </c>
      <c r="I48" s="37" t="e">
        <f t="shared" si="14"/>
        <v>#DIV/0!</v>
      </c>
      <c r="J48" s="37" t="e">
        <f t="shared" si="14"/>
        <v>#DIV/0!</v>
      </c>
      <c r="K48" s="37" t="e">
        <f t="shared" si="14"/>
        <v>#DIV/0!</v>
      </c>
      <c r="L48" s="37" t="e">
        <f>+((L46/L50)^2-(L46^2))^(0.5)</f>
        <v>#DIV/0!</v>
      </c>
      <c r="M48" s="37" t="e">
        <f>+((M46/M50)^2-(M46^2))^(0.5)</f>
        <v>#DIV/0!</v>
      </c>
      <c r="N48" s="37" t="e">
        <f>+((N46/N50)^2-(N46^2))^(0.5)</f>
        <v>#DIV/0!</v>
      </c>
      <c r="O48" s="37"/>
      <c r="P48" s="4">
        <f>HLOOKUP(P46,B46:N48,3,FALSE)</f>
        <v>958.91983202472136</v>
      </c>
    </row>
    <row r="49" spans="1:16" x14ac:dyDescent="0.25">
      <c r="A49" s="3" t="s">
        <v>8</v>
      </c>
      <c r="B49" s="37">
        <f t="shared" ref="B49:K49" si="15">+B47/(24*B$8)</f>
        <v>0</v>
      </c>
      <c r="C49" s="37">
        <f>+C47/(24*C$8)</f>
        <v>0</v>
      </c>
      <c r="D49" s="37">
        <f t="shared" si="15"/>
        <v>0</v>
      </c>
      <c r="E49" s="37">
        <f t="shared" si="15"/>
        <v>0</v>
      </c>
      <c r="F49" s="37">
        <f t="shared" si="15"/>
        <v>0</v>
      </c>
      <c r="G49" s="37">
        <f t="shared" si="15"/>
        <v>5392.0478115013439</v>
      </c>
      <c r="H49" s="37">
        <f t="shared" si="15"/>
        <v>0</v>
      </c>
      <c r="I49" s="37">
        <f t="shared" si="15"/>
        <v>0</v>
      </c>
      <c r="J49" s="37">
        <f t="shared" si="15"/>
        <v>0</v>
      </c>
      <c r="K49" s="37">
        <f t="shared" si="15"/>
        <v>0</v>
      </c>
      <c r="L49" s="37">
        <f>+L47/(24*L$8)</f>
        <v>0</v>
      </c>
      <c r="M49" s="37">
        <f>+M47/(24*M$8)</f>
        <v>0</v>
      </c>
      <c r="N49" s="37">
        <f>+N47/(24*N$8)</f>
        <v>0</v>
      </c>
      <c r="O49" s="6">
        <f>SUM(O47)/(24*O$8)</f>
        <v>457.95474563436073</v>
      </c>
      <c r="P49" s="4">
        <f>O47/(COUNTIF(B47:N47,"&gt;0")*720)</f>
        <v>5571.7827385513892</v>
      </c>
    </row>
    <row r="50" spans="1:16" x14ac:dyDescent="0.25">
      <c r="A50" s="3" t="s">
        <v>9</v>
      </c>
      <c r="B50" s="380">
        <f>VLOOKUP($B$45,BancoTabla_1[],10,FALSE)</f>
        <v>0</v>
      </c>
      <c r="C50" s="380">
        <f>VLOOKUP($B$45,BancoTabla_2[],10,FALSE)</f>
        <v>0</v>
      </c>
      <c r="D50" s="380">
        <f>VLOOKUP($B$45,BancoTabla_3[],10,FALSE)</f>
        <v>0</v>
      </c>
      <c r="E50" s="380">
        <f>VLOOKUP($B$45,BancoTabla_4[],10,FALSE)</f>
        <v>0</v>
      </c>
      <c r="F50" s="380">
        <f>VLOOKUP($B$45,BancoTabla_5[],10,FALSE)</f>
        <v>0</v>
      </c>
      <c r="G50" s="380">
        <f>VLOOKUP($B$45,BancoTabla_6[],10,FALSE)</f>
        <v>0.99252300000000004</v>
      </c>
      <c r="H50" s="380">
        <f>VLOOKUP($B$45,BancoTabla_7[],10,FALSE)</f>
        <v>0</v>
      </c>
      <c r="I50" s="380">
        <f>VLOOKUP($B$45,BancoTabla_8[],10,FALSE)</f>
        <v>0</v>
      </c>
      <c r="J50" s="380">
        <f>VLOOKUP($B$45,BancoTabla_9[],10,FALSE)</f>
        <v>0</v>
      </c>
      <c r="K50" s="380">
        <f>VLOOKUP($B$45,BancoTabla_10[],10,FALSE)</f>
        <v>0</v>
      </c>
      <c r="L50" s="380">
        <f>VLOOKUP($B$45,BancoTabla_11[],10,FALSE)</f>
        <v>0</v>
      </c>
      <c r="M50" s="380">
        <f>VLOOKUP($B$45,BancoTabla_12[],10,FALSE)</f>
        <v>0</v>
      </c>
      <c r="N50" s="380">
        <f>VLOOKUP($B$45,BancoTabla_13[],10,FALSE)</f>
        <v>0</v>
      </c>
      <c r="O50" s="6"/>
      <c r="P50" s="4">
        <f>COS(ATAN(P48/P46))</f>
        <v>0.99252300000000004</v>
      </c>
    </row>
    <row r="51" spans="1:16" x14ac:dyDescent="0.25">
      <c r="A51" s="3" t="s">
        <v>17</v>
      </c>
      <c r="B51" s="37" t="e">
        <f t="shared" ref="B51:K51" si="16">+B49/B46</f>
        <v>#DIV/0!</v>
      </c>
      <c r="C51" s="37" t="e">
        <f>+C49/C46</f>
        <v>#DIV/0!</v>
      </c>
      <c r="D51" s="37" t="e">
        <f>+D49/D46</f>
        <v>#DIV/0!</v>
      </c>
      <c r="E51" s="37" t="e">
        <f t="shared" si="16"/>
        <v>#DIV/0!</v>
      </c>
      <c r="F51" s="37" t="e">
        <f>+F49/F46</f>
        <v>#DIV/0!</v>
      </c>
      <c r="G51" s="37">
        <f t="shared" si="16"/>
        <v>0.69150641950115854</v>
      </c>
      <c r="H51" s="37" t="e">
        <f t="shared" si="16"/>
        <v>#DIV/0!</v>
      </c>
      <c r="I51" s="37" t="e">
        <f t="shared" si="16"/>
        <v>#DIV/0!</v>
      </c>
      <c r="J51" s="37" t="e">
        <f t="shared" si="16"/>
        <v>#DIV/0!</v>
      </c>
      <c r="K51" s="37" t="e">
        <f t="shared" si="16"/>
        <v>#DIV/0!</v>
      </c>
      <c r="L51" s="37" t="e">
        <f>+L49/L46</f>
        <v>#DIV/0!</v>
      </c>
      <c r="M51" s="37" t="e">
        <f>+M49/M46</f>
        <v>#DIV/0!</v>
      </c>
      <c r="N51" s="37" t="e">
        <f>+N49/N46</f>
        <v>#DIV/0!</v>
      </c>
      <c r="O51" s="6"/>
      <c r="P51" s="4">
        <f>+P49/P46</f>
        <v>0.71455663348453058</v>
      </c>
    </row>
    <row r="52" spans="1:16" x14ac:dyDescent="0.25">
      <c r="A52" s="3" t="s">
        <v>18</v>
      </c>
      <c r="B52" s="37" t="e">
        <f>+B43/B46</f>
        <v>#DIV/0!</v>
      </c>
      <c r="C52" s="181" t="e">
        <f>+C43/C46</f>
        <v>#DIV/0!</v>
      </c>
      <c r="D52" s="37" t="e">
        <f>+D43/D46</f>
        <v>#DIV/0!</v>
      </c>
      <c r="E52" s="328" t="e">
        <f t="shared" ref="E52:K52" si="17">+E43/E46</f>
        <v>#DIV/0!</v>
      </c>
      <c r="F52" s="37" t="e">
        <f t="shared" si="17"/>
        <v>#DIV/0!</v>
      </c>
      <c r="G52" s="37">
        <f>+G43/G46</f>
        <v>0.79850292213953111</v>
      </c>
      <c r="H52" s="37" t="e">
        <f>+H43/H46</f>
        <v>#DIV/0!</v>
      </c>
      <c r="I52" s="37" t="e">
        <f>+I43/I46</f>
        <v>#DIV/0!</v>
      </c>
      <c r="J52" s="37" t="e">
        <f>+J43/J46</f>
        <v>#DIV/0!</v>
      </c>
      <c r="K52" s="37" t="e">
        <f t="shared" si="17"/>
        <v>#DIV/0!</v>
      </c>
      <c r="L52" s="37" t="e">
        <f>+L43/L46</f>
        <v>#DIV/0!</v>
      </c>
      <c r="M52" s="37" t="e">
        <f>+M43/M46</f>
        <v>#DIV/0!</v>
      </c>
      <c r="N52" s="37" t="e">
        <f>+N43/N46</f>
        <v>#DIV/0!</v>
      </c>
      <c r="O52" s="6"/>
      <c r="P52" s="4">
        <f>+P43/P46</f>
        <v>0.79850292213953111</v>
      </c>
    </row>
    <row r="53" spans="1:16" x14ac:dyDescent="0.25">
      <c r="A53" s="3" t="s">
        <v>19</v>
      </c>
      <c r="B53" s="37">
        <f>+B46/$B$54</f>
        <v>0</v>
      </c>
      <c r="C53" s="37">
        <f>+C46/$B$54</f>
        <v>0</v>
      </c>
      <c r="D53" s="37">
        <f t="shared" ref="D53:K53" si="18">+D46/$B$54</f>
        <v>0</v>
      </c>
      <c r="E53" s="37">
        <f>+E46/$B$54</f>
        <v>0</v>
      </c>
      <c r="F53" s="37">
        <f>+F46/$B$54</f>
        <v>0</v>
      </c>
      <c r="G53" s="37">
        <f>+G46/$B$54</f>
        <v>0.39281398667839429</v>
      </c>
      <c r="H53" s="37">
        <f t="shared" si="18"/>
        <v>0</v>
      </c>
      <c r="I53" s="37">
        <f t="shared" si="18"/>
        <v>0</v>
      </c>
      <c r="J53" s="37">
        <f t="shared" si="18"/>
        <v>0</v>
      </c>
      <c r="K53" s="37">
        <f t="shared" si="18"/>
        <v>0</v>
      </c>
      <c r="L53" s="177">
        <f>+L46/$B$54</f>
        <v>0</v>
      </c>
      <c r="M53" s="177">
        <f>+M46/$B$54</f>
        <v>0</v>
      </c>
      <c r="N53" s="177">
        <f>+N46/$B$54</f>
        <v>0</v>
      </c>
      <c r="O53" s="6"/>
      <c r="P53" s="4">
        <f>+P46/$B$54</f>
        <v>0.39281398667839429</v>
      </c>
    </row>
    <row r="54" spans="1:16" x14ac:dyDescent="0.25">
      <c r="A54" s="3" t="s">
        <v>20</v>
      </c>
      <c r="B54" s="37">
        <f>20*P50*1000</f>
        <v>19850.460000000003</v>
      </c>
      <c r="C54" s="37"/>
      <c r="D54" s="37"/>
      <c r="E54" s="37"/>
      <c r="F54" s="37"/>
      <c r="G54" s="3"/>
      <c r="H54" s="3"/>
      <c r="I54" s="3"/>
      <c r="J54" s="3"/>
      <c r="K54" s="4"/>
      <c r="L54" s="4"/>
      <c r="M54" s="4"/>
      <c r="N54" s="4"/>
      <c r="O54" s="37"/>
      <c r="P54" s="4"/>
    </row>
    <row r="55" spans="1:16" x14ac:dyDescent="0.25">
      <c r="A55" s="238" t="s">
        <v>332</v>
      </c>
      <c r="B55" s="237">
        <f>B46/$B$54</f>
        <v>0</v>
      </c>
      <c r="C55" s="237"/>
      <c r="D55" s="237">
        <f t="shared" ref="D55:N55" si="19">D46/$B$54</f>
        <v>0</v>
      </c>
      <c r="E55" s="237">
        <f t="shared" si="19"/>
        <v>0</v>
      </c>
      <c r="F55" s="237">
        <f t="shared" si="19"/>
        <v>0</v>
      </c>
      <c r="G55" s="237">
        <f t="shared" si="19"/>
        <v>0.39281398667839429</v>
      </c>
      <c r="H55" s="237">
        <f t="shared" si="19"/>
        <v>0</v>
      </c>
      <c r="I55" s="237">
        <f t="shared" si="19"/>
        <v>0</v>
      </c>
      <c r="J55" s="237">
        <f t="shared" si="19"/>
        <v>0</v>
      </c>
      <c r="K55" s="237">
        <f t="shared" si="19"/>
        <v>0</v>
      </c>
      <c r="L55" s="237">
        <f t="shared" si="19"/>
        <v>0</v>
      </c>
      <c r="M55" s="237">
        <f t="shared" si="19"/>
        <v>0</v>
      </c>
      <c r="N55" s="237">
        <f t="shared" si="19"/>
        <v>0</v>
      </c>
      <c r="O55" s="24"/>
    </row>
    <row r="56" spans="1:16" x14ac:dyDescent="0.25">
      <c r="B56" s="26"/>
      <c r="C56" s="26"/>
      <c r="D56" s="26"/>
      <c r="E56" s="26"/>
      <c r="F56" s="26"/>
      <c r="O56" s="24"/>
    </row>
    <row r="57" spans="1:16" x14ac:dyDescent="0.25">
      <c r="A57" s="15" t="s">
        <v>14</v>
      </c>
      <c r="B57" s="29"/>
      <c r="C57" s="29"/>
      <c r="D57" s="29"/>
      <c r="E57" s="29"/>
      <c r="F57" s="29"/>
      <c r="G57" s="15"/>
      <c r="H57" s="15"/>
      <c r="I57" s="15"/>
      <c r="J57" s="15"/>
      <c r="K57" s="16"/>
      <c r="L57" s="16"/>
      <c r="M57" s="16"/>
      <c r="N57" s="16"/>
      <c r="O57" s="57"/>
      <c r="P57" s="16"/>
    </row>
    <row r="58" spans="1:16" x14ac:dyDescent="0.25">
      <c r="A58" s="16" t="s">
        <v>11</v>
      </c>
      <c r="B58" s="45">
        <f>+B46</f>
        <v>0</v>
      </c>
      <c r="C58" s="45">
        <f>+C46</f>
        <v>0</v>
      </c>
      <c r="D58" s="45">
        <f t="shared" ref="D58:M59" si="20">+D46</f>
        <v>0</v>
      </c>
      <c r="E58" s="45">
        <f t="shared" si="20"/>
        <v>0</v>
      </c>
      <c r="F58" s="45">
        <f t="shared" si="20"/>
        <v>0</v>
      </c>
      <c r="G58" s="45">
        <f t="shared" si="20"/>
        <v>7797.5383300000003</v>
      </c>
      <c r="H58" s="45">
        <f t="shared" si="20"/>
        <v>0</v>
      </c>
      <c r="I58" s="45">
        <f t="shared" si="20"/>
        <v>0</v>
      </c>
      <c r="J58" s="45">
        <f>+J46</f>
        <v>0</v>
      </c>
      <c r="K58" s="45">
        <f>+K46</f>
        <v>0</v>
      </c>
      <c r="L58" s="45">
        <f>+L46</f>
        <v>0</v>
      </c>
      <c r="M58" s="45">
        <f>+M46</f>
        <v>0</v>
      </c>
      <c r="N58" s="45">
        <f>+N46</f>
        <v>0</v>
      </c>
      <c r="O58" s="63"/>
      <c r="P58" s="45">
        <f>MAX(B58:N58)</f>
        <v>7797.5383300000003</v>
      </c>
    </row>
    <row r="59" spans="1:16" x14ac:dyDescent="0.25">
      <c r="A59" s="16" t="s">
        <v>7</v>
      </c>
      <c r="B59" s="45">
        <f>+B47</f>
        <v>0</v>
      </c>
      <c r="C59" s="45">
        <f>+C47</f>
        <v>0</v>
      </c>
      <c r="D59" s="45">
        <f t="shared" si="20"/>
        <v>0</v>
      </c>
      <c r="E59" s="45">
        <f t="shared" si="20"/>
        <v>0</v>
      </c>
      <c r="F59" s="45">
        <f t="shared" si="20"/>
        <v>0</v>
      </c>
      <c r="G59" s="45">
        <f t="shared" si="20"/>
        <v>4011683.5717569999</v>
      </c>
      <c r="H59" s="45">
        <f t="shared" si="20"/>
        <v>0</v>
      </c>
      <c r="I59" s="45">
        <f t="shared" si="20"/>
        <v>0</v>
      </c>
      <c r="J59" s="45">
        <f t="shared" si="20"/>
        <v>0</v>
      </c>
      <c r="K59" s="45">
        <f t="shared" si="20"/>
        <v>0</v>
      </c>
      <c r="L59" s="45">
        <f t="shared" si="20"/>
        <v>0</v>
      </c>
      <c r="M59" s="45">
        <f t="shared" si="20"/>
        <v>0</v>
      </c>
      <c r="N59" s="45">
        <f>+N47</f>
        <v>0</v>
      </c>
      <c r="O59" s="63">
        <f>SUM(B59:N59)</f>
        <v>4011683.5717569999</v>
      </c>
      <c r="P59" s="43"/>
    </row>
    <row r="60" spans="1:16" x14ac:dyDescent="0.25">
      <c r="B60" s="26"/>
      <c r="C60" s="26"/>
      <c r="D60" s="26"/>
      <c r="E60" s="26"/>
      <c r="F60" s="26"/>
      <c r="O60" s="24"/>
    </row>
    <row r="61" spans="1:16" x14ac:dyDescent="0.25">
      <c r="A61" s="12" t="s">
        <v>21</v>
      </c>
      <c r="B61" s="28"/>
      <c r="C61" s="28"/>
      <c r="D61" s="28"/>
      <c r="E61" s="28"/>
      <c r="F61" s="28"/>
      <c r="G61" s="12"/>
      <c r="H61" s="12"/>
      <c r="I61" s="12"/>
      <c r="J61" s="12"/>
      <c r="K61" s="11"/>
      <c r="L61" s="11"/>
      <c r="M61" s="11"/>
      <c r="N61" s="11"/>
      <c r="O61" s="56"/>
      <c r="P61" s="11"/>
    </row>
    <row r="62" spans="1:16" x14ac:dyDescent="0.25">
      <c r="A62" s="13" t="s">
        <v>6</v>
      </c>
      <c r="B62" s="49">
        <f>+B58</f>
        <v>0</v>
      </c>
      <c r="C62" s="49">
        <f>+C58</f>
        <v>0</v>
      </c>
      <c r="D62" s="49">
        <f t="shared" ref="D62:M62" si="21">+D58</f>
        <v>0</v>
      </c>
      <c r="E62" s="49">
        <f t="shared" si="21"/>
        <v>0</v>
      </c>
      <c r="F62" s="49">
        <f t="shared" si="21"/>
        <v>0</v>
      </c>
      <c r="G62" s="49">
        <f t="shared" si="21"/>
        <v>7797.5383300000003</v>
      </c>
      <c r="H62" s="49">
        <f t="shared" si="21"/>
        <v>0</v>
      </c>
      <c r="I62" s="49">
        <f t="shared" si="21"/>
        <v>0</v>
      </c>
      <c r="J62" s="49">
        <f t="shared" si="21"/>
        <v>0</v>
      </c>
      <c r="K62" s="49">
        <f t="shared" si="21"/>
        <v>0</v>
      </c>
      <c r="L62" s="49">
        <f t="shared" si="21"/>
        <v>0</v>
      </c>
      <c r="M62" s="49">
        <f t="shared" si="21"/>
        <v>0</v>
      </c>
      <c r="N62" s="49">
        <f>+N58</f>
        <v>0</v>
      </c>
      <c r="O62" s="82"/>
      <c r="P62" s="44">
        <f>MAX(B62:N62)</f>
        <v>7797.5383300000003</v>
      </c>
    </row>
    <row r="63" spans="1:16" x14ac:dyDescent="0.25">
      <c r="A63" s="14" t="s">
        <v>18</v>
      </c>
      <c r="B63" s="14" t="e">
        <f>+B58/B62</f>
        <v>#DIV/0!</v>
      </c>
      <c r="C63" s="14" t="e">
        <f>+C58/C62</f>
        <v>#DIV/0!</v>
      </c>
      <c r="D63" s="14" t="e">
        <f t="shared" ref="D63:M63" si="22">+D58/D62</f>
        <v>#DIV/0!</v>
      </c>
      <c r="E63" s="14" t="e">
        <f t="shared" si="22"/>
        <v>#DIV/0!</v>
      </c>
      <c r="F63" s="14" t="e">
        <f t="shared" si="22"/>
        <v>#DIV/0!</v>
      </c>
      <c r="G63" s="14">
        <f t="shared" si="22"/>
        <v>1</v>
      </c>
      <c r="H63" s="14" t="e">
        <f t="shared" si="22"/>
        <v>#DIV/0!</v>
      </c>
      <c r="I63" s="14" t="e">
        <f t="shared" si="22"/>
        <v>#DIV/0!</v>
      </c>
      <c r="J63" s="14" t="e">
        <f t="shared" si="22"/>
        <v>#DIV/0!</v>
      </c>
      <c r="K63" s="14" t="e">
        <f t="shared" si="22"/>
        <v>#DIV/0!</v>
      </c>
      <c r="L63" s="14" t="e">
        <f t="shared" si="22"/>
        <v>#DIV/0!</v>
      </c>
      <c r="M63" s="14" t="e">
        <f t="shared" si="22"/>
        <v>#DIV/0!</v>
      </c>
      <c r="N63" s="14" t="e">
        <f>+N58/N62</f>
        <v>#DIV/0!</v>
      </c>
      <c r="O63" s="61"/>
      <c r="P63" s="14">
        <f>+P58/P62</f>
        <v>1</v>
      </c>
    </row>
    <row r="64" spans="1:16" x14ac:dyDescent="0.25">
      <c r="O64" s="24"/>
    </row>
    <row r="65" spans="1:15" x14ac:dyDescent="0.25">
      <c r="F65" s="61" t="s">
        <v>160</v>
      </c>
      <c r="G65" s="145">
        <f>P13+P20+P27+P34</f>
        <v>6226.3571419999998</v>
      </c>
      <c r="O65" s="24"/>
    </row>
    <row r="66" spans="1:15" x14ac:dyDescent="0.25">
      <c r="F66" s="61" t="s">
        <v>161</v>
      </c>
      <c r="G66" s="145">
        <f>P46</f>
        <v>7797.5383300000003</v>
      </c>
    </row>
    <row r="67" spans="1:15" x14ac:dyDescent="0.25">
      <c r="F67" s="146" t="s">
        <v>162</v>
      </c>
      <c r="G67" s="147">
        <f>G65/G66</f>
        <v>0.79850292213953111</v>
      </c>
    </row>
    <row r="69" spans="1:15" x14ac:dyDescent="0.25">
      <c r="A69" s="271" t="s">
        <v>235</v>
      </c>
    </row>
  </sheetData>
  <mergeCells count="21">
    <mergeCell ref="A9:A10"/>
    <mergeCell ref="B9:B10"/>
    <mergeCell ref="D9:D10"/>
    <mergeCell ref="E9:E10"/>
    <mergeCell ref="G9:G10"/>
    <mergeCell ref="C9:C10"/>
    <mergeCell ref="N9:N10"/>
    <mergeCell ref="P9:P10"/>
    <mergeCell ref="K9:K10"/>
    <mergeCell ref="L9:L10"/>
    <mergeCell ref="M9:M10"/>
    <mergeCell ref="O9:O10"/>
    <mergeCell ref="E2:M2"/>
    <mergeCell ref="E3:M3"/>
    <mergeCell ref="E4:M4"/>
    <mergeCell ref="E5:M5"/>
    <mergeCell ref="F9:F10"/>
    <mergeCell ref="E6:M6"/>
    <mergeCell ref="H9:H10"/>
    <mergeCell ref="I9:I10"/>
    <mergeCell ref="J9:J10"/>
  </mergeCells>
  <phoneticPr fontId="5" type="noConversion"/>
  <printOptions horizontalCentered="1" verticalCentered="1"/>
  <pageMargins left="0.19685039370078741" right="0.19685039370078741" top="0.19685039370078741" bottom="0.19685039370078741" header="0" footer="0"/>
  <pageSetup scale="73" orientation="landscape" horizontalDpi="300" verticalDpi="300" r:id="rId1"/>
  <headerFooter alignWithMargins="0">
    <oddFooter>&amp;RElaboro: Departamento de Planeacion Campeche</oddFooter>
  </headerFooter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Hoja8">
    <tabColor theme="8" tint="0.59999389629810485"/>
    <pageSetUpPr fitToPage="1"/>
  </sheetPr>
  <dimension ref="A1:R112"/>
  <sheetViews>
    <sheetView zoomScale="115" zoomScaleNormal="115" zoomScaleSheetLayoutView="100" workbookViewId="0">
      <selection activeCell="B31" sqref="B31:N31"/>
    </sheetView>
  </sheetViews>
  <sheetFormatPr baseColWidth="10" defaultRowHeight="13.2" x14ac:dyDescent="0.25"/>
  <cols>
    <col min="1" max="1" width="18" bestFit="1" customWidth="1"/>
    <col min="2" max="5" width="15.6640625" customWidth="1"/>
    <col min="6" max="6" width="17.33203125" customWidth="1"/>
    <col min="7" max="8" width="15.6640625" customWidth="1"/>
    <col min="9" max="9" width="16.33203125" customWidth="1"/>
    <col min="10" max="16" width="15.6640625" customWidth="1"/>
    <col min="18" max="18" width="11.6640625" bestFit="1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31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236</v>
      </c>
      <c r="B12" s="262"/>
      <c r="C12" s="262"/>
      <c r="D12" s="262"/>
      <c r="E12" s="262"/>
      <c r="F12" s="65"/>
      <c r="G12" s="265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6044.0232740000001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6044.0232740000001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2613514.658053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2613514.658053</v>
      </c>
      <c r="P14" s="43">
        <f>SUM(B14:N14)/(COUNTIF(B14:N14,"&gt;0"))</f>
        <v>2613514.658053</v>
      </c>
    </row>
    <row r="15" spans="1:16" x14ac:dyDescent="0.25">
      <c r="A15" s="3" t="s">
        <v>16</v>
      </c>
      <c r="B15" s="37" t="e">
        <f t="shared" ref="B15:H15" si="0">+((B13/B17)^2-(B13^2))^(0.5)</f>
        <v>#DIV/0!</v>
      </c>
      <c r="C15" s="37" t="e">
        <f>+((C13/C17)^2-(C13^2))^(0.5)</f>
        <v>#DIV/0!</v>
      </c>
      <c r="D15" s="37" t="e">
        <f t="shared" si="0"/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835.19544077274952</v>
      </c>
      <c r="H15" s="37" t="e">
        <f t="shared" si="0"/>
        <v>#DIV/0!</v>
      </c>
      <c r="I15" s="37" t="e">
        <f t="shared" ref="I15:N15" si="1">+((I13/I17)^2-(I13^2))^(0.5)</f>
        <v>#DIV/0!</v>
      </c>
      <c r="J15" s="37" t="e">
        <f t="shared" si="1"/>
        <v>#DIV/0!</v>
      </c>
      <c r="K15" s="37" t="e">
        <f t="shared" si="1"/>
        <v>#DIV/0!</v>
      </c>
      <c r="L15" s="37" t="e">
        <f t="shared" si="1"/>
        <v>#DIV/0!</v>
      </c>
      <c r="M15" s="37" t="e">
        <f t="shared" si="1"/>
        <v>#DIV/0!</v>
      </c>
      <c r="N15" s="37" t="e">
        <f t="shared" si="1"/>
        <v>#DIV/0!</v>
      </c>
      <c r="O15" s="37"/>
      <c r="P15" s="4">
        <f>HLOOKUP(P13,B13:N15,3,FALSE)</f>
        <v>835.19544077274952</v>
      </c>
    </row>
    <row r="16" spans="1:16" x14ac:dyDescent="0.25">
      <c r="A16" s="3" t="s">
        <v>8</v>
      </c>
      <c r="B16" s="37">
        <f t="shared" ref="B16:H16" si="2">+B14/(24*B$8)</f>
        <v>0</v>
      </c>
      <c r="C16" s="37">
        <f>+C14/(24*C$8)</f>
        <v>0</v>
      </c>
      <c r="D16" s="37">
        <f t="shared" si="2"/>
        <v>0</v>
      </c>
      <c r="E16" s="37">
        <f t="shared" si="2"/>
        <v>0</v>
      </c>
      <c r="F16" s="37">
        <f t="shared" si="2"/>
        <v>0</v>
      </c>
      <c r="G16" s="37">
        <f t="shared" si="2"/>
        <v>3512.7885188884406</v>
      </c>
      <c r="H16" s="37">
        <f t="shared" si="2"/>
        <v>0</v>
      </c>
      <c r="I16" s="37">
        <f t="shared" ref="I16:N16" si="3">+I14/(24*I$8)</f>
        <v>0</v>
      </c>
      <c r="J16" s="37">
        <f t="shared" si="3"/>
        <v>0</v>
      </c>
      <c r="K16" s="37">
        <f t="shared" si="3"/>
        <v>0</v>
      </c>
      <c r="L16" s="37">
        <f t="shared" si="3"/>
        <v>0</v>
      </c>
      <c r="M16" s="37">
        <f t="shared" si="3"/>
        <v>0</v>
      </c>
      <c r="N16" s="37">
        <f t="shared" si="3"/>
        <v>0</v>
      </c>
      <c r="O16" s="6">
        <f>SUM(O14)/(24*O$8)</f>
        <v>298.34642215216894</v>
      </c>
      <c r="P16" s="4">
        <f>O14/(COUNTIF(B14:N14,"&gt;0")*720)</f>
        <v>3629.8814695180554</v>
      </c>
    </row>
    <row r="17" spans="1:16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0.990587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0.990587</v>
      </c>
    </row>
    <row r="18" spans="1:16" x14ac:dyDescent="0.25">
      <c r="A18" s="3" t="s">
        <v>17</v>
      </c>
      <c r="B18" s="37" t="e">
        <f t="shared" ref="B18:H18" si="4">+B16/B13</f>
        <v>#DIV/0!</v>
      </c>
      <c r="C18" s="37" t="e">
        <f>+C16/C13</f>
        <v>#DIV/0!</v>
      </c>
      <c r="D18" s="37" t="e">
        <f t="shared" si="4"/>
        <v>#DIV/0!</v>
      </c>
      <c r="E18" s="37" t="e">
        <f t="shared" si="4"/>
        <v>#DIV/0!</v>
      </c>
      <c r="F18" s="37" t="e">
        <f t="shared" si="4"/>
        <v>#DIV/0!</v>
      </c>
      <c r="G18" s="37">
        <f t="shared" si="4"/>
        <v>0.58120036267888808</v>
      </c>
      <c r="H18" s="37" t="e">
        <f t="shared" si="4"/>
        <v>#DIV/0!</v>
      </c>
      <c r="I18" s="37" t="e">
        <f t="shared" ref="I18:N18" si="5">+I16/I13</f>
        <v>#DIV/0!</v>
      </c>
      <c r="J18" s="37" t="e">
        <f t="shared" si="5"/>
        <v>#DIV/0!</v>
      </c>
      <c r="K18" s="37" t="e">
        <f t="shared" si="5"/>
        <v>#DIV/0!</v>
      </c>
      <c r="L18" s="37" t="e">
        <f t="shared" si="5"/>
        <v>#DIV/0!</v>
      </c>
      <c r="M18" s="37" t="e">
        <f t="shared" si="5"/>
        <v>#DIV/0!</v>
      </c>
      <c r="N18" s="37" t="e">
        <f t="shared" si="5"/>
        <v>#DIV/0!</v>
      </c>
      <c r="O18" s="6"/>
      <c r="P18" s="4">
        <f>+P16/P13</f>
        <v>0.60057370810151767</v>
      </c>
    </row>
    <row r="19" spans="1:16" s="24" customFormat="1" x14ac:dyDescent="0.25">
      <c r="A19" s="271" t="s">
        <v>237</v>
      </c>
      <c r="B19" s="65"/>
      <c r="C19" s="65"/>
      <c r="D19" s="65"/>
      <c r="E19" s="65"/>
      <c r="F19" s="65"/>
      <c r="G19" s="66"/>
      <c r="H19" s="66"/>
      <c r="I19" s="66"/>
      <c r="J19" s="66"/>
      <c r="K19" s="50"/>
      <c r="L19" s="50"/>
      <c r="M19" s="50"/>
      <c r="N19" s="50"/>
      <c r="O19" s="50"/>
      <c r="P19" s="50"/>
    </row>
    <row r="20" spans="1:16" x14ac:dyDescent="0.25">
      <c r="A20" s="3" t="s">
        <v>6</v>
      </c>
      <c r="B20" s="380" t="e">
        <f>VLOOKUP($A$19,TABLA_1[],5,FALSE)</f>
        <v>#N/A</v>
      </c>
      <c r="C20" s="380" t="e">
        <f>VLOOKUP($A$19,TABLA_2[],5,FALSE)</f>
        <v>#N/A</v>
      </c>
      <c r="D20" s="380" t="e">
        <f>VLOOKUP($A$19,TABLA_3[],5,FALSE)</f>
        <v>#N/A</v>
      </c>
      <c r="E20" s="380" t="e">
        <f>VLOOKUP($A$19,TABLA_4[],5,FALSE)</f>
        <v>#N/A</v>
      </c>
      <c r="F20" s="380" t="e">
        <f>VLOOKUP($A$19,TABLA_5[],5,FALSE)</f>
        <v>#N/A</v>
      </c>
      <c r="G20" s="380" t="e">
        <f>VLOOKUP($A$19,TABLA_6[],5,FALSE)</f>
        <v>#N/A</v>
      </c>
      <c r="H20" s="380" t="e">
        <f>VLOOKUP($A$19,TABLA_7[],5,FALSE)</f>
        <v>#N/A</v>
      </c>
      <c r="I20" s="380" t="e">
        <f>VLOOKUP($A$19,TABLA_8[],5,FALSE)</f>
        <v>#N/A</v>
      </c>
      <c r="J20" s="380" t="e">
        <f>VLOOKUP($A$19,TABLA_9[],5,FALSE)</f>
        <v>#N/A</v>
      </c>
      <c r="K20" s="380" t="e">
        <f>VLOOKUP($A$19,TABLA_10[],5,FALSE)</f>
        <v>#N/A</v>
      </c>
      <c r="L20" s="380" t="e">
        <f>VLOOKUP($A$19,TABLA_11[],5,FALSE)</f>
        <v>#N/A</v>
      </c>
      <c r="M20" s="380" t="e">
        <f>VLOOKUP($A$19,TABLA_12[],5,FALSE)</f>
        <v>#N/A</v>
      </c>
      <c r="N20" s="380" t="e">
        <f>VLOOKUP($A$19,TABLA_13[],5,FALSE)</f>
        <v>#N/A</v>
      </c>
      <c r="O20" s="6"/>
      <c r="P20" s="43" t="e">
        <f>MAX(B20:N20)</f>
        <v>#N/A</v>
      </c>
    </row>
    <row r="21" spans="1:16" x14ac:dyDescent="0.25">
      <c r="A21" s="3" t="s">
        <v>7</v>
      </c>
      <c r="B21" s="380" t="e">
        <f>VLOOKUP($A$19,TABLA_1[],8,FALSE)</f>
        <v>#N/A</v>
      </c>
      <c r="C21" s="380" t="e">
        <f>VLOOKUP($A$19,TABLA_2[],8,FALSE)</f>
        <v>#N/A</v>
      </c>
      <c r="D21" s="380" t="e">
        <f>VLOOKUP($A$19,TABLA_3[],8,FALSE)</f>
        <v>#N/A</v>
      </c>
      <c r="E21" s="380" t="e">
        <f>VLOOKUP($A$19,TABLA_4[],8,FALSE)</f>
        <v>#N/A</v>
      </c>
      <c r="F21" s="380" t="e">
        <f>VLOOKUP($A$19,TABLA_5[],8,FALSE)</f>
        <v>#N/A</v>
      </c>
      <c r="G21" s="380" t="e">
        <f>VLOOKUP($A$19,TABLA_6[],8,FALSE)</f>
        <v>#N/A</v>
      </c>
      <c r="H21" s="380" t="e">
        <f>VLOOKUP($A$19,TABLA_7[],8,FALSE)</f>
        <v>#N/A</v>
      </c>
      <c r="I21" s="380" t="e">
        <f>VLOOKUP($A$19,TABLA_8[],8,FALSE)</f>
        <v>#N/A</v>
      </c>
      <c r="J21" s="380" t="e">
        <f>VLOOKUP($A$19,TABLA_9[],8,FALSE)</f>
        <v>#N/A</v>
      </c>
      <c r="K21" s="380" t="e">
        <f>VLOOKUP($A$19,TABLA_10[],8,FALSE)</f>
        <v>#N/A</v>
      </c>
      <c r="L21" s="380" t="e">
        <f>VLOOKUP($A$19,TABLA_11[],8,FALSE)</f>
        <v>#N/A</v>
      </c>
      <c r="M21" s="380" t="e">
        <f>VLOOKUP($A$19,TABLA_12[],8,FALSE)</f>
        <v>#N/A</v>
      </c>
      <c r="N21" s="380" t="e">
        <f>VLOOKUP($A$19,TABLA_13[],8,FALSE)</f>
        <v>#N/A</v>
      </c>
      <c r="O21" s="47" t="e">
        <f>SUM(B21:N21)</f>
        <v>#N/A</v>
      </c>
      <c r="P21" s="43" t="e">
        <f>SUM(B21:N21)/(COUNTIF(B21:N21,"&gt;0"))</f>
        <v>#N/A</v>
      </c>
    </row>
    <row r="22" spans="1:16" x14ac:dyDescent="0.25">
      <c r="A22" s="3" t="s">
        <v>16</v>
      </c>
      <c r="B22" s="37" t="e">
        <f t="shared" ref="B22:H22" si="6">+((B20/B24)^2-(B20^2))^(0.5)</f>
        <v>#N/A</v>
      </c>
      <c r="C22" s="37" t="e">
        <f>+((C20/C24)^2-(C20^2))^(0.5)</f>
        <v>#N/A</v>
      </c>
      <c r="D22" s="37" t="e">
        <f t="shared" si="6"/>
        <v>#N/A</v>
      </c>
      <c r="E22" s="37" t="e">
        <f t="shared" si="6"/>
        <v>#N/A</v>
      </c>
      <c r="F22" s="37" t="e">
        <f t="shared" si="6"/>
        <v>#N/A</v>
      </c>
      <c r="G22" s="37" t="e">
        <f t="shared" si="6"/>
        <v>#N/A</v>
      </c>
      <c r="H22" s="37" t="e">
        <f t="shared" si="6"/>
        <v>#N/A</v>
      </c>
      <c r="I22" s="37" t="e">
        <f t="shared" ref="I22:N22" si="7">+((I20/I24)^2-(I20^2))^(0.5)</f>
        <v>#N/A</v>
      </c>
      <c r="J22" s="37" t="e">
        <f t="shared" si="7"/>
        <v>#N/A</v>
      </c>
      <c r="K22" s="37" t="e">
        <f t="shared" si="7"/>
        <v>#N/A</v>
      </c>
      <c r="L22" s="37" t="e">
        <f t="shared" si="7"/>
        <v>#N/A</v>
      </c>
      <c r="M22" s="37" t="e">
        <f t="shared" si="7"/>
        <v>#N/A</v>
      </c>
      <c r="N22" s="37" t="e">
        <f t="shared" si="7"/>
        <v>#N/A</v>
      </c>
      <c r="O22" s="37"/>
      <c r="P22" s="4" t="e">
        <f>HLOOKUP(P20,B20:N22,3,FALSE)</f>
        <v>#N/A</v>
      </c>
    </row>
    <row r="23" spans="1:16" x14ac:dyDescent="0.25">
      <c r="A23" s="3" t="s">
        <v>8</v>
      </c>
      <c r="B23" s="37" t="e">
        <f t="shared" ref="B23:H23" si="8">+B21/(24*B$8)</f>
        <v>#N/A</v>
      </c>
      <c r="C23" s="37" t="e">
        <f>+C21/(24*C$8)</f>
        <v>#N/A</v>
      </c>
      <c r="D23" s="37" t="e">
        <f t="shared" si="8"/>
        <v>#N/A</v>
      </c>
      <c r="E23" s="37" t="e">
        <f t="shared" si="8"/>
        <v>#N/A</v>
      </c>
      <c r="F23" s="37" t="e">
        <f t="shared" si="8"/>
        <v>#N/A</v>
      </c>
      <c r="G23" s="37" t="e">
        <f t="shared" si="8"/>
        <v>#N/A</v>
      </c>
      <c r="H23" s="37" t="e">
        <f t="shared" si="8"/>
        <v>#N/A</v>
      </c>
      <c r="I23" s="37" t="e">
        <f t="shared" ref="I23:N23" si="9">+I21/(24*I$8)</f>
        <v>#N/A</v>
      </c>
      <c r="J23" s="37" t="e">
        <f t="shared" si="9"/>
        <v>#N/A</v>
      </c>
      <c r="K23" s="37" t="e">
        <f t="shared" si="9"/>
        <v>#N/A</v>
      </c>
      <c r="L23" s="37" t="e">
        <f t="shared" si="9"/>
        <v>#N/A</v>
      </c>
      <c r="M23" s="37" t="e">
        <f t="shared" si="9"/>
        <v>#N/A</v>
      </c>
      <c r="N23" s="37" t="e">
        <f t="shared" si="9"/>
        <v>#N/A</v>
      </c>
      <c r="O23" s="6" t="e">
        <f>SUM(O21)/(24*O$8)</f>
        <v>#N/A</v>
      </c>
      <c r="P23" s="4" t="e">
        <f>O21/(COUNTIF(B21:N21,"&gt;0")*720)</f>
        <v>#N/A</v>
      </c>
    </row>
    <row r="24" spans="1:16" x14ac:dyDescent="0.25">
      <c r="A24" s="3" t="s">
        <v>9</v>
      </c>
      <c r="B24" s="380" t="e">
        <f>VLOOKUP($A$19,TABLA_1[],10,FALSE)</f>
        <v>#N/A</v>
      </c>
      <c r="C24" s="380" t="e">
        <f>VLOOKUP($A$19,TABLA_2[],10,FALSE)</f>
        <v>#N/A</v>
      </c>
      <c r="D24" s="380" t="e">
        <f>VLOOKUP($A$19,TABLA_3[],10,FALSE)</f>
        <v>#N/A</v>
      </c>
      <c r="E24" s="380" t="e">
        <f>VLOOKUP($A$19,TABLA_4[],10,FALSE)</f>
        <v>#N/A</v>
      </c>
      <c r="F24" s="380" t="e">
        <f>VLOOKUP($A$19,TABLA_5[],10,FALSE)</f>
        <v>#N/A</v>
      </c>
      <c r="G24" s="380" t="e">
        <f>VLOOKUP($A$19,TABLA_6[],10,FALSE)</f>
        <v>#N/A</v>
      </c>
      <c r="H24" s="380" t="e">
        <f>VLOOKUP($A$19,TABLA_7[],10,FALSE)</f>
        <v>#N/A</v>
      </c>
      <c r="I24" s="380" t="e">
        <f>VLOOKUP($A$19,TABLA_8[],10,FALSE)</f>
        <v>#N/A</v>
      </c>
      <c r="J24" s="380" t="e">
        <f>VLOOKUP($A$19,TABLA_9[],10,FALSE)</f>
        <v>#N/A</v>
      </c>
      <c r="K24" s="380" t="e">
        <f>VLOOKUP($A$19,TABLA_10[],10,FALSE)</f>
        <v>#N/A</v>
      </c>
      <c r="L24" s="380" t="e">
        <f>VLOOKUP($A$19,TABLA_11[],10,FALSE)</f>
        <v>#N/A</v>
      </c>
      <c r="M24" s="380" t="e">
        <f>VLOOKUP($A$19,TABLA_12[],10,FALSE)</f>
        <v>#N/A</v>
      </c>
      <c r="N24" s="380" t="e">
        <f>VLOOKUP($A$19,TABLA_13[],10,FALSE)</f>
        <v>#N/A</v>
      </c>
      <c r="O24" s="6"/>
      <c r="P24" s="4" t="e">
        <f>COS(ATAN(P22/P20))</f>
        <v>#N/A</v>
      </c>
    </row>
    <row r="25" spans="1:16" x14ac:dyDescent="0.25">
      <c r="A25" s="3" t="s">
        <v>17</v>
      </c>
      <c r="B25" s="37" t="e">
        <f t="shared" ref="B25:H25" si="10">+B23/B20</f>
        <v>#N/A</v>
      </c>
      <c r="C25" s="37" t="e">
        <f>+C23/C20</f>
        <v>#N/A</v>
      </c>
      <c r="D25" s="37" t="e">
        <f t="shared" si="10"/>
        <v>#N/A</v>
      </c>
      <c r="E25" s="37" t="e">
        <f t="shared" si="10"/>
        <v>#N/A</v>
      </c>
      <c r="F25" s="37" t="e">
        <f>+F23/F20</f>
        <v>#N/A</v>
      </c>
      <c r="G25" s="37" t="e">
        <f>+G23/G20</f>
        <v>#N/A</v>
      </c>
      <c r="H25" s="37" t="e">
        <f t="shared" si="10"/>
        <v>#N/A</v>
      </c>
      <c r="I25" s="37" t="e">
        <f t="shared" ref="I25:N25" si="11">+I23/I20</f>
        <v>#N/A</v>
      </c>
      <c r="J25" s="37" t="e">
        <f t="shared" si="11"/>
        <v>#N/A</v>
      </c>
      <c r="K25" s="37" t="e">
        <f t="shared" si="11"/>
        <v>#N/A</v>
      </c>
      <c r="L25" s="37" t="e">
        <f t="shared" si="11"/>
        <v>#N/A</v>
      </c>
      <c r="M25" s="37" t="e">
        <f t="shared" si="11"/>
        <v>#N/A</v>
      </c>
      <c r="N25" s="37" t="e">
        <f t="shared" si="11"/>
        <v>#N/A</v>
      </c>
      <c r="O25" s="6"/>
      <c r="P25" s="4" t="e">
        <f>+P23/P20</f>
        <v>#N/A</v>
      </c>
    </row>
    <row r="26" spans="1:16" s="24" customFormat="1" x14ac:dyDescent="0.25">
      <c r="A26" s="271" t="s">
        <v>238</v>
      </c>
      <c r="B26" s="65"/>
      <c r="C26" s="65"/>
      <c r="D26" s="65"/>
      <c r="E26" s="65"/>
      <c r="F26" s="65"/>
      <c r="G26" s="66"/>
      <c r="H26" s="66"/>
      <c r="I26" s="66"/>
      <c r="J26" s="66"/>
      <c r="K26" s="50"/>
      <c r="L26" s="50"/>
      <c r="M26" s="50"/>
      <c r="N26" s="50"/>
      <c r="O26" s="50"/>
      <c r="P26" s="50"/>
    </row>
    <row r="27" spans="1:16" x14ac:dyDescent="0.25">
      <c r="A27" s="3" t="s">
        <v>6</v>
      </c>
      <c r="B27" s="381">
        <f>VLOOKUP($A$26,TABLA_1[],5,FALSE)</f>
        <v>0</v>
      </c>
      <c r="C27" s="381">
        <f>VLOOKUP($A$26,TABLA_2[],5,FALSE)</f>
        <v>0</v>
      </c>
      <c r="D27" s="381">
        <f>VLOOKUP($A$26,TABLA_3[],5,FALSE)</f>
        <v>0</v>
      </c>
      <c r="E27" s="381">
        <f>VLOOKUP($A$26,TABLA_4[],5,FALSE)</f>
        <v>0</v>
      </c>
      <c r="F27" s="381">
        <f>VLOOKUP($A$26,TABLA_5[],5,FALSE)</f>
        <v>0</v>
      </c>
      <c r="G27" s="381">
        <f>VLOOKUP($A$26,TABLA_6[],5,FALSE)</f>
        <v>7497.1483559999997</v>
      </c>
      <c r="H27" s="381">
        <f>VLOOKUP($A$26,TABLA_7[],5,FALSE)</f>
        <v>0</v>
      </c>
      <c r="I27" s="381">
        <f>VLOOKUP($A$26,TABLA_8[],5,FALSE)</f>
        <v>0</v>
      </c>
      <c r="J27" s="381">
        <f>VLOOKUP($A$26,TABLA_9[],5,FALSE)</f>
        <v>0</v>
      </c>
      <c r="K27" s="381">
        <f>VLOOKUP($A$26,TABLA_10[],5,FALSE)</f>
        <v>0</v>
      </c>
      <c r="L27" s="381">
        <f>VLOOKUP($A$26,TABLA_11[],5,FALSE)</f>
        <v>0</v>
      </c>
      <c r="M27" s="381">
        <f>VLOOKUP($A$26,TABLA_12[],5,FALSE)</f>
        <v>0</v>
      </c>
      <c r="N27" s="381">
        <f>VLOOKUP($A$26,TABLA_13[],5,FALSE)</f>
        <v>0</v>
      </c>
      <c r="O27" s="6"/>
      <c r="P27" s="43">
        <f>MAX(B27:N27)</f>
        <v>7497.1483559999997</v>
      </c>
    </row>
    <row r="28" spans="1:16" x14ac:dyDescent="0.25">
      <c r="A28" s="3" t="s">
        <v>7</v>
      </c>
      <c r="B28" s="382">
        <f>VLOOKUP($A$26,TABLA_1[],8,FALSE)</f>
        <v>0</v>
      </c>
      <c r="C28" s="382">
        <f>VLOOKUP($A$26,TABLA_2[],8,FALSE)</f>
        <v>0</v>
      </c>
      <c r="D28" s="382">
        <f>VLOOKUP($A$26,TABLA_3[],8,FALSE)</f>
        <v>0</v>
      </c>
      <c r="E28" s="382">
        <f>VLOOKUP($A$26,TABLA_4[],8,FALSE)</f>
        <v>0</v>
      </c>
      <c r="F28" s="382">
        <f>VLOOKUP($A$26,TABLA_5[],8,FALSE)</f>
        <v>0</v>
      </c>
      <c r="G28" s="382">
        <f>VLOOKUP($A$26,TABLA_6[],8,FALSE)</f>
        <v>3056994.3741100002</v>
      </c>
      <c r="H28" s="382">
        <f>VLOOKUP($A$26,TABLA_7[],8,FALSE)</f>
        <v>0</v>
      </c>
      <c r="I28" s="382">
        <f>VLOOKUP($A$26,TABLA_8[],8,FALSE)</f>
        <v>0</v>
      </c>
      <c r="J28" s="382">
        <f>VLOOKUP($A$26,TABLA_9[],8,FALSE)</f>
        <v>0</v>
      </c>
      <c r="K28" s="382">
        <f>VLOOKUP($A$26,TABLA_10[],8,FALSE)</f>
        <v>0</v>
      </c>
      <c r="L28" s="382">
        <f>VLOOKUP($A$26,TABLA_11[],8,FALSE)</f>
        <v>0</v>
      </c>
      <c r="M28" s="382">
        <f>VLOOKUP($A$26,TABLA_12[],8,FALSE)</f>
        <v>0</v>
      </c>
      <c r="N28" s="382">
        <f>VLOOKUP($A$26,TABLA_13[],8,FALSE)</f>
        <v>0</v>
      </c>
      <c r="O28" s="47">
        <f>SUM(B28:N28)</f>
        <v>3056994.3741100002</v>
      </c>
      <c r="P28" s="43">
        <f>SUM(B28:N28)/(COUNTIF(B28:N28,"&gt;0"))</f>
        <v>3056994.3741100002</v>
      </c>
    </row>
    <row r="29" spans="1:16" x14ac:dyDescent="0.25">
      <c r="A29" s="3" t="s">
        <v>16</v>
      </c>
      <c r="B29" s="37" t="e">
        <f t="shared" ref="B29:H29" si="12">+((B27/B31)^2-(B27^2))^(0.5)</f>
        <v>#DIV/0!</v>
      </c>
      <c r="C29" s="37" t="e">
        <f>+((C27/C31)^2-(C27^2))^(0.5)</f>
        <v>#DIV/0!</v>
      </c>
      <c r="D29" s="37" t="e">
        <f t="shared" si="12"/>
        <v>#DIV/0!</v>
      </c>
      <c r="E29" s="37" t="e">
        <f t="shared" si="12"/>
        <v>#DIV/0!</v>
      </c>
      <c r="F29" s="37" t="e">
        <f t="shared" si="12"/>
        <v>#DIV/0!</v>
      </c>
      <c r="G29" s="37">
        <f t="shared" si="12"/>
        <v>952.06293661647146</v>
      </c>
      <c r="H29" s="37" t="e">
        <f t="shared" si="12"/>
        <v>#DIV/0!</v>
      </c>
      <c r="I29" s="37" t="e">
        <f t="shared" ref="I29:N29" si="13">+((I27/I31)^2-(I27^2))^(0.5)</f>
        <v>#DIV/0!</v>
      </c>
      <c r="J29" s="37" t="e">
        <f t="shared" si="13"/>
        <v>#DIV/0!</v>
      </c>
      <c r="K29" s="37" t="e">
        <f t="shared" si="13"/>
        <v>#DIV/0!</v>
      </c>
      <c r="L29" s="37" t="e">
        <f t="shared" si="13"/>
        <v>#DIV/0!</v>
      </c>
      <c r="M29" s="37">
        <f t="shared" si="13"/>
        <v>0</v>
      </c>
      <c r="N29" s="37">
        <f t="shared" si="13"/>
        <v>0</v>
      </c>
      <c r="O29" s="37"/>
      <c r="P29" s="4">
        <f>HLOOKUP(P27,B27:N29,3,FALSE)</f>
        <v>952.06293661647146</v>
      </c>
    </row>
    <row r="30" spans="1:16" x14ac:dyDescent="0.25">
      <c r="A30" s="3" t="s">
        <v>8</v>
      </c>
      <c r="B30" s="37">
        <f t="shared" ref="B30:H30" si="14">+B28/(24*B$8)</f>
        <v>0</v>
      </c>
      <c r="C30" s="37">
        <f>+C28/(24*C$8)</f>
        <v>0</v>
      </c>
      <c r="D30" s="37">
        <f t="shared" si="14"/>
        <v>0</v>
      </c>
      <c r="E30" s="37">
        <f t="shared" si="14"/>
        <v>0</v>
      </c>
      <c r="F30" s="37">
        <f t="shared" si="14"/>
        <v>0</v>
      </c>
      <c r="G30" s="37">
        <f t="shared" si="14"/>
        <v>4108.8634060618278</v>
      </c>
      <c r="H30" s="37">
        <f t="shared" si="14"/>
        <v>0</v>
      </c>
      <c r="I30" s="37">
        <f t="shared" ref="I30:N30" si="15">+I28/(24*I$8)</f>
        <v>0</v>
      </c>
      <c r="J30" s="37">
        <f t="shared" si="15"/>
        <v>0</v>
      </c>
      <c r="K30" s="37">
        <f t="shared" si="15"/>
        <v>0</v>
      </c>
      <c r="L30" s="37">
        <f t="shared" si="15"/>
        <v>0</v>
      </c>
      <c r="M30" s="37">
        <f t="shared" si="15"/>
        <v>0</v>
      </c>
      <c r="N30" s="37">
        <f t="shared" si="15"/>
        <v>0</v>
      </c>
      <c r="O30" s="6">
        <f>SUM(O28)/(24*O$8)</f>
        <v>348.97196051484019</v>
      </c>
      <c r="P30" s="4">
        <f>O28/(COUNTIF(B28:N28,"&gt;0")*720)</f>
        <v>4245.8255195972224</v>
      </c>
    </row>
    <row r="31" spans="1:16" x14ac:dyDescent="0.25">
      <c r="A31" s="3" t="s">
        <v>9</v>
      </c>
      <c r="B31" s="383">
        <f>VLOOKUP($A$26,TABLA_1[],10,FALSE)</f>
        <v>0</v>
      </c>
      <c r="C31" s="383">
        <f>VLOOKUP($A$26,TABLA_2[],10,FALSE)</f>
        <v>0</v>
      </c>
      <c r="D31" s="383">
        <f>VLOOKUP($A$26,TABLA_3[],10,FALSE)</f>
        <v>0</v>
      </c>
      <c r="E31" s="383">
        <f>VLOOKUP($A$26,TABLA_4[],10,FALSE)</f>
        <v>0</v>
      </c>
      <c r="F31" s="383">
        <f>VLOOKUP($A$26,TABLA_5[],10,FALSE)</f>
        <v>0</v>
      </c>
      <c r="G31" s="383">
        <f>VLOOKUP($A$26,TABLA_6[],10,FALSE)</f>
        <v>0.99203300000000005</v>
      </c>
      <c r="H31" s="383">
        <f>VLOOKUP($A$26,TABLA_7[],10,FALSE)</f>
        <v>0</v>
      </c>
      <c r="I31" s="383">
        <f>VLOOKUP($A$26,TABLA_8[],10,FALSE)</f>
        <v>0</v>
      </c>
      <c r="J31" s="383">
        <f>VLOOKUP($A$26,TABLA_9[],10,FALSE)</f>
        <v>0</v>
      </c>
      <c r="K31" s="383">
        <f>VLOOKUP($A$26,TABLA_10[],10,FALSE)</f>
        <v>0</v>
      </c>
      <c r="L31" s="383">
        <f>VLOOKUP($A$26,TABLA_11[],10,FALSE)</f>
        <v>0</v>
      </c>
      <c r="M31" s="383">
        <f>VLOOKUP($A$26,TABLA_6[],10,FALSE)</f>
        <v>0.99203300000000005</v>
      </c>
      <c r="N31" s="383">
        <f>VLOOKUP($A$26,TABLA_6[],10,FALSE)</f>
        <v>0.99203300000000005</v>
      </c>
      <c r="O31" s="6"/>
      <c r="P31" s="4">
        <f>COS(ATAN(P29/P27))</f>
        <v>0.99203300000000016</v>
      </c>
    </row>
    <row r="32" spans="1:16" x14ac:dyDescent="0.25">
      <c r="A32" s="3" t="s">
        <v>17</v>
      </c>
      <c r="B32" s="37" t="e">
        <f t="shared" ref="B32:H32" si="16">+B30/B27</f>
        <v>#DIV/0!</v>
      </c>
      <c r="C32" s="37" t="e">
        <f>+C30/C27</f>
        <v>#DIV/0!</v>
      </c>
      <c r="D32" s="37" t="e">
        <f t="shared" si="16"/>
        <v>#DIV/0!</v>
      </c>
      <c r="E32" s="37" t="e">
        <f t="shared" si="16"/>
        <v>#DIV/0!</v>
      </c>
      <c r="F32" s="37" t="e">
        <f t="shared" si="16"/>
        <v>#DIV/0!</v>
      </c>
      <c r="G32" s="37">
        <f t="shared" si="16"/>
        <v>0.54805683587326737</v>
      </c>
      <c r="H32" s="37" t="e">
        <f t="shared" si="16"/>
        <v>#DIV/0!</v>
      </c>
      <c r="I32" s="37" t="e">
        <f t="shared" ref="I32:N32" si="17">+I30/I27</f>
        <v>#DIV/0!</v>
      </c>
      <c r="J32" s="37" t="e">
        <f t="shared" si="17"/>
        <v>#DIV/0!</v>
      </c>
      <c r="K32" s="37" t="e">
        <f t="shared" si="17"/>
        <v>#DIV/0!</v>
      </c>
      <c r="L32" s="37" t="e">
        <f t="shared" si="17"/>
        <v>#DIV/0!</v>
      </c>
      <c r="M32" s="37" t="e">
        <f t="shared" si="17"/>
        <v>#DIV/0!</v>
      </c>
      <c r="N32" s="37" t="e">
        <f t="shared" si="17"/>
        <v>#DIV/0!</v>
      </c>
      <c r="O32" s="6"/>
      <c r="P32" s="4">
        <f>+P30/P27</f>
        <v>0.56632539706904295</v>
      </c>
    </row>
    <row r="33" spans="1:18" s="24" customFormat="1" x14ac:dyDescent="0.25">
      <c r="A33" s="271" t="s">
        <v>239</v>
      </c>
      <c r="B33" s="65"/>
      <c r="C33" s="65"/>
      <c r="D33" s="65"/>
      <c r="E33" s="65"/>
      <c r="F33" s="65"/>
      <c r="G33" s="66"/>
      <c r="H33" s="66"/>
      <c r="I33" s="66"/>
      <c r="J33" s="66"/>
      <c r="K33" s="50"/>
      <c r="L33" s="50"/>
      <c r="M33" s="50"/>
      <c r="N33" s="50"/>
      <c r="O33" s="50"/>
      <c r="P33" s="50"/>
    </row>
    <row r="34" spans="1:18" x14ac:dyDescent="0.25">
      <c r="A34" s="3" t="s">
        <v>6</v>
      </c>
      <c r="B34" s="380">
        <f>VLOOKUP($A$33,TABLA_1[],5,FALSE)</f>
        <v>0</v>
      </c>
      <c r="C34" s="380">
        <f>VLOOKUP($A$33,TABLA_2[],5,FALSE)</f>
        <v>0</v>
      </c>
      <c r="D34" s="380">
        <f>VLOOKUP($A$33,TABLA_3[],5,FALSE)</f>
        <v>0</v>
      </c>
      <c r="E34" s="380">
        <f>VLOOKUP($A$33,TABLA_4[],5,FALSE)</f>
        <v>0</v>
      </c>
      <c r="F34" s="380">
        <f>VLOOKUP($A$33,TABLA_5[],5,FALSE)</f>
        <v>0</v>
      </c>
      <c r="G34" s="380">
        <f>VLOOKUP($A$33,TABLA_6[],5,FALSE)</f>
        <v>4172.9150390000004</v>
      </c>
      <c r="H34" s="380">
        <f>VLOOKUP($A$33,TABLA_7[],5,FALSE)</f>
        <v>0</v>
      </c>
      <c r="I34" s="380">
        <f>VLOOKUP($A$33,TABLA_8[],5,FALSE)</f>
        <v>0</v>
      </c>
      <c r="J34" s="380">
        <f>VLOOKUP($A$33,TABLA_9[],5,FALSE)</f>
        <v>0</v>
      </c>
      <c r="K34" s="380">
        <f>VLOOKUP($A$33,TABLA_10[],5,FALSE)</f>
        <v>0</v>
      </c>
      <c r="L34" s="380">
        <f>VLOOKUP($A$33,TABLA_11[],5,FALSE)</f>
        <v>0</v>
      </c>
      <c r="M34" s="380">
        <f>VLOOKUP($A$33,TABLA_12[],5,FALSE)</f>
        <v>0</v>
      </c>
      <c r="N34" s="380">
        <f>VLOOKUP($A$33,TABLA_13[],5,FALSE)</f>
        <v>0</v>
      </c>
      <c r="O34" s="6"/>
      <c r="P34" s="47">
        <f>MAX(B34:N34)</f>
        <v>4172.9150390000004</v>
      </c>
    </row>
    <row r="35" spans="1:18" x14ac:dyDescent="0.25">
      <c r="A35" s="3" t="s">
        <v>7</v>
      </c>
      <c r="B35" s="380">
        <f>VLOOKUP($A$33,TABLA_1[],8,FALSE)</f>
        <v>0</v>
      </c>
      <c r="C35" s="380">
        <f>VLOOKUP($A$33,TABLA_2[],8,FALSE)</f>
        <v>0</v>
      </c>
      <c r="D35" s="380">
        <f>VLOOKUP($A$33,TABLA_3[],8,FALSE)</f>
        <v>0</v>
      </c>
      <c r="E35" s="380">
        <f>VLOOKUP($A$33,TABLA_4[],8,FALSE)</f>
        <v>0</v>
      </c>
      <c r="F35" s="380">
        <f>VLOOKUP($A$33,TABLA_5[],8,FALSE)</f>
        <v>0</v>
      </c>
      <c r="G35" s="380">
        <f>VLOOKUP($A$33,TABLA_6[],8,FALSE)</f>
        <v>1695843.3893850001</v>
      </c>
      <c r="H35" s="380">
        <f>VLOOKUP($A$33,TABLA_7[],8,FALSE)</f>
        <v>0</v>
      </c>
      <c r="I35" s="380">
        <f>VLOOKUP($A$33,TABLA_8[],8,FALSE)</f>
        <v>0</v>
      </c>
      <c r="J35" s="380">
        <f>VLOOKUP($A$33,TABLA_9[],8,FALSE)</f>
        <v>0</v>
      </c>
      <c r="K35" s="380">
        <f>VLOOKUP($A$33,TABLA_10[],8,FALSE)</f>
        <v>0</v>
      </c>
      <c r="L35" s="380">
        <f>VLOOKUP($A$33,TABLA_11[],8,FALSE)</f>
        <v>0</v>
      </c>
      <c r="M35" s="380">
        <f>VLOOKUP($A$33,TABLA_12[],8,FALSE)</f>
        <v>0</v>
      </c>
      <c r="N35" s="380">
        <f>VLOOKUP($A$33,TABLA_13[],8,FALSE)</f>
        <v>0</v>
      </c>
      <c r="O35" s="47">
        <f>SUM(B35:N35)</f>
        <v>1695843.3893850001</v>
      </c>
      <c r="P35" s="43">
        <f>SUM(B35:N35)/(COUNTIF(B35:N35,"&gt;0"))</f>
        <v>1695843.3893850001</v>
      </c>
    </row>
    <row r="36" spans="1:18" x14ac:dyDescent="0.25">
      <c r="A36" s="3" t="s">
        <v>16</v>
      </c>
      <c r="B36" s="37" t="e">
        <f t="shared" ref="B36:H36" si="18">+((B34/B38)^2-(B34^2))^(0.5)</f>
        <v>#DIV/0!</v>
      </c>
      <c r="C36" s="37" t="e">
        <f>+((C34/C38)^2-(C34^2))^(0.5)</f>
        <v>#DIV/0!</v>
      </c>
      <c r="D36" s="37" t="e">
        <f t="shared" si="18"/>
        <v>#DIV/0!</v>
      </c>
      <c r="E36" s="37" t="e">
        <f t="shared" si="18"/>
        <v>#DIV/0!</v>
      </c>
      <c r="F36" s="37" t="e">
        <f t="shared" si="18"/>
        <v>#DIV/0!</v>
      </c>
      <c r="G36" s="37">
        <f t="shared" si="18"/>
        <v>605.91586154305674</v>
      </c>
      <c r="H36" s="37" t="e">
        <f t="shared" si="18"/>
        <v>#DIV/0!</v>
      </c>
      <c r="I36" s="37" t="e">
        <f t="shared" ref="I36:N36" si="19">+((I34/I38)^2-(I34^2))^(0.5)</f>
        <v>#DIV/0!</v>
      </c>
      <c r="J36" s="37" t="e">
        <f t="shared" si="19"/>
        <v>#DIV/0!</v>
      </c>
      <c r="K36" s="37" t="e">
        <f t="shared" si="19"/>
        <v>#DIV/0!</v>
      </c>
      <c r="L36" s="37" t="e">
        <f t="shared" si="19"/>
        <v>#DIV/0!</v>
      </c>
      <c r="M36" s="37" t="e">
        <f t="shared" si="19"/>
        <v>#DIV/0!</v>
      </c>
      <c r="N36" s="37" t="e">
        <f t="shared" si="19"/>
        <v>#DIV/0!</v>
      </c>
      <c r="O36" s="37"/>
      <c r="P36" s="4">
        <f>HLOOKUP(P34,B34:N36,3,FALSE)</f>
        <v>605.91586154305674</v>
      </c>
    </row>
    <row r="37" spans="1:18" x14ac:dyDescent="0.25">
      <c r="A37" s="3" t="s">
        <v>8</v>
      </c>
      <c r="B37" s="37">
        <f t="shared" ref="B37:H37" si="20">+B35/(24*B$8)</f>
        <v>0</v>
      </c>
      <c r="C37" s="37">
        <f>+C35/(24*C$8)</f>
        <v>0</v>
      </c>
      <c r="D37" s="37">
        <f t="shared" si="20"/>
        <v>0</v>
      </c>
      <c r="E37" s="37">
        <f t="shared" si="20"/>
        <v>0</v>
      </c>
      <c r="F37" s="37">
        <f t="shared" si="20"/>
        <v>0</v>
      </c>
      <c r="G37" s="37">
        <f t="shared" si="20"/>
        <v>2279.3593943346777</v>
      </c>
      <c r="H37" s="37">
        <f t="shared" si="20"/>
        <v>0</v>
      </c>
      <c r="I37" s="37">
        <f t="shared" ref="I37:N37" si="21">+I35/(24*I$8)</f>
        <v>0</v>
      </c>
      <c r="J37" s="37">
        <f t="shared" si="21"/>
        <v>0</v>
      </c>
      <c r="K37" s="37">
        <f t="shared" si="21"/>
        <v>0</v>
      </c>
      <c r="L37" s="37">
        <f t="shared" si="21"/>
        <v>0</v>
      </c>
      <c r="M37" s="37">
        <f t="shared" si="21"/>
        <v>0</v>
      </c>
      <c r="N37" s="37">
        <f t="shared" si="21"/>
        <v>0</v>
      </c>
      <c r="O37" s="6">
        <f>SUM(O35)/(24*O$8)</f>
        <v>193.58942801198631</v>
      </c>
      <c r="P37" s="4">
        <f>O35/(COUNTIF(B35:N35,"&gt;0")*720)</f>
        <v>2355.3380408125004</v>
      </c>
    </row>
    <row r="38" spans="1:18" x14ac:dyDescent="0.25">
      <c r="A38" s="3" t="s">
        <v>9</v>
      </c>
      <c r="B38" s="380">
        <f>VLOOKUP($A$33,TABLA_1[],10,FALSE)</f>
        <v>0</v>
      </c>
      <c r="C38" s="380">
        <f>VLOOKUP($A$33,TABLA_2[],10,FALSE)</f>
        <v>0</v>
      </c>
      <c r="D38" s="380">
        <f>VLOOKUP($A$33,TABLA_3[],10,FALSE)</f>
        <v>0</v>
      </c>
      <c r="E38" s="380">
        <f>VLOOKUP($A$33,TABLA_4[],10,FALSE)</f>
        <v>0</v>
      </c>
      <c r="F38" s="380">
        <f>VLOOKUP($A$33,TABLA_5[],10,FALSE)</f>
        <v>0</v>
      </c>
      <c r="G38" s="380">
        <f>VLOOKUP($A$33,TABLA_6[],10,FALSE)</f>
        <v>0.989622</v>
      </c>
      <c r="H38" s="380">
        <f>VLOOKUP($A$33,TABLA_7[],10,FALSE)</f>
        <v>0</v>
      </c>
      <c r="I38" s="380">
        <f>VLOOKUP($A$33,TABLA_8[],10,FALSE)</f>
        <v>0</v>
      </c>
      <c r="J38" s="380">
        <f>VLOOKUP($A$33,TABLA_9[],10,FALSE)</f>
        <v>0</v>
      </c>
      <c r="K38" s="380">
        <f>VLOOKUP($A$33,TABLA_10[],10,FALSE)</f>
        <v>0</v>
      </c>
      <c r="L38" s="380">
        <f>VLOOKUP($A$33,TABLA_11[],10,FALSE)</f>
        <v>0</v>
      </c>
      <c r="M38" s="380">
        <f>VLOOKUP($A$33,TABLA_12[],10,FALSE)</f>
        <v>0</v>
      </c>
      <c r="N38" s="380">
        <f>VLOOKUP($A$33,TABLA_13[],10,FALSE)</f>
        <v>0</v>
      </c>
      <c r="O38" s="6"/>
      <c r="P38" s="4">
        <f>COS(ATAN(P36/P34))</f>
        <v>0.98962199999999989</v>
      </c>
    </row>
    <row r="39" spans="1:18" x14ac:dyDescent="0.25">
      <c r="A39" s="3" t="s">
        <v>17</v>
      </c>
      <c r="B39" s="37" t="e">
        <f t="shared" ref="B39:H39" si="22">+B37/B34</f>
        <v>#DIV/0!</v>
      </c>
      <c r="C39" s="37" t="e">
        <f>+C37/C34</f>
        <v>#DIV/0!</v>
      </c>
      <c r="D39" s="37" t="e">
        <f t="shared" si="22"/>
        <v>#DIV/0!</v>
      </c>
      <c r="E39" s="37" t="e">
        <f t="shared" si="22"/>
        <v>#DIV/0!</v>
      </c>
      <c r="F39" s="37" t="e">
        <f t="shared" si="22"/>
        <v>#DIV/0!</v>
      </c>
      <c r="G39" s="37">
        <f t="shared" si="22"/>
        <v>0.54622712732749634</v>
      </c>
      <c r="H39" s="37" t="e">
        <f t="shared" si="22"/>
        <v>#DIV/0!</v>
      </c>
      <c r="I39" s="37" t="e">
        <f t="shared" ref="I39:N39" si="23">+I37/I34</f>
        <v>#DIV/0!</v>
      </c>
      <c r="J39" s="37" t="e">
        <f t="shared" si="23"/>
        <v>#DIV/0!</v>
      </c>
      <c r="K39" s="37" t="e">
        <f t="shared" si="23"/>
        <v>#DIV/0!</v>
      </c>
      <c r="L39" s="37" t="e">
        <f t="shared" si="23"/>
        <v>#DIV/0!</v>
      </c>
      <c r="M39" s="37" t="e">
        <f t="shared" si="23"/>
        <v>#DIV/0!</v>
      </c>
      <c r="N39" s="37" t="e">
        <f t="shared" si="23"/>
        <v>#DIV/0!</v>
      </c>
      <c r="O39" s="6"/>
      <c r="P39" s="4">
        <f>+P37/P34</f>
        <v>0.56443469823841297</v>
      </c>
    </row>
    <row r="40" spans="1:18" x14ac:dyDescent="0.25">
      <c r="A40" s="86"/>
      <c r="B40" s="77"/>
      <c r="C40" s="77"/>
      <c r="D40" s="77"/>
      <c r="E40" s="77"/>
      <c r="F40" s="77"/>
      <c r="G40" s="77"/>
      <c r="H40" s="77"/>
      <c r="I40" s="77"/>
      <c r="J40" s="77"/>
      <c r="K40" s="77"/>
      <c r="L40" s="77"/>
      <c r="M40" s="77"/>
      <c r="N40" s="77"/>
      <c r="O40" s="77"/>
      <c r="P40" s="83"/>
    </row>
    <row r="41" spans="1:18" x14ac:dyDescent="0.25">
      <c r="A41" s="86"/>
      <c r="B41" s="77"/>
      <c r="C41" s="77"/>
      <c r="D41" s="77"/>
      <c r="E41" s="77"/>
      <c r="F41" s="77"/>
      <c r="G41" s="77"/>
      <c r="H41" s="77"/>
      <c r="I41" s="77"/>
      <c r="J41" s="77"/>
      <c r="K41" s="77"/>
      <c r="L41" s="77"/>
      <c r="M41" s="77"/>
      <c r="N41" s="77"/>
      <c r="O41" s="77"/>
      <c r="P41" s="83"/>
    </row>
    <row r="42" spans="1:18" x14ac:dyDescent="0.25">
      <c r="A42" s="7" t="s">
        <v>10</v>
      </c>
      <c r="B42" s="72"/>
      <c r="C42" s="72"/>
      <c r="D42" s="72"/>
      <c r="E42" s="72"/>
      <c r="F42" s="72"/>
      <c r="G42" s="73"/>
      <c r="H42" s="73"/>
      <c r="I42" s="73"/>
      <c r="J42" s="73"/>
      <c r="K42" s="73"/>
      <c r="L42" s="53"/>
      <c r="M42" s="53"/>
      <c r="N42" s="53"/>
      <c r="O42" s="53"/>
      <c r="P42" s="8"/>
    </row>
    <row r="43" spans="1:18" x14ac:dyDescent="0.25">
      <c r="A43" s="9" t="s">
        <v>11</v>
      </c>
      <c r="B43" s="62" t="e">
        <f t="shared" ref="B43:N43" si="24">B13+B20+B27+B34</f>
        <v>#N/A</v>
      </c>
      <c r="C43" s="62" t="e">
        <f>C13+C20+C27+C34</f>
        <v>#N/A</v>
      </c>
      <c r="D43" s="62" t="e">
        <f t="shared" si="24"/>
        <v>#N/A</v>
      </c>
      <c r="E43" s="62" t="e">
        <f>E13+E20+E27+E34</f>
        <v>#N/A</v>
      </c>
      <c r="F43" s="62" t="e">
        <f t="shared" si="24"/>
        <v>#N/A</v>
      </c>
      <c r="G43" s="62" t="e">
        <f t="shared" si="24"/>
        <v>#N/A</v>
      </c>
      <c r="H43" s="62" t="e">
        <f t="shared" si="24"/>
        <v>#N/A</v>
      </c>
      <c r="I43" s="62" t="e">
        <f t="shared" si="24"/>
        <v>#N/A</v>
      </c>
      <c r="J43" s="62" t="e">
        <f t="shared" si="24"/>
        <v>#N/A</v>
      </c>
      <c r="K43" s="62" t="e">
        <f t="shared" si="24"/>
        <v>#N/A</v>
      </c>
      <c r="L43" s="62" t="e">
        <f t="shared" si="24"/>
        <v>#N/A</v>
      </c>
      <c r="M43" s="62" t="e">
        <f t="shared" si="24"/>
        <v>#N/A</v>
      </c>
      <c r="N43" s="62" t="e">
        <f t="shared" si="24"/>
        <v>#N/A</v>
      </c>
      <c r="O43" s="62"/>
      <c r="P43" s="42" t="e">
        <f>MAX(B43:N43)</f>
        <v>#N/A</v>
      </c>
    </row>
    <row r="44" spans="1:18" x14ac:dyDescent="0.25">
      <c r="A44" s="9" t="s">
        <v>7</v>
      </c>
      <c r="B44" s="62" t="e">
        <f t="shared" ref="B44:N44" si="25">B14+B21+B28+B35</f>
        <v>#N/A</v>
      </c>
      <c r="C44" s="62" t="e">
        <f>C14+C21+C28+C35</f>
        <v>#N/A</v>
      </c>
      <c r="D44" s="62" t="e">
        <f t="shared" si="25"/>
        <v>#N/A</v>
      </c>
      <c r="E44" s="62" t="e">
        <f t="shared" si="25"/>
        <v>#N/A</v>
      </c>
      <c r="F44" s="62" t="e">
        <f t="shared" si="25"/>
        <v>#N/A</v>
      </c>
      <c r="G44" s="62" t="e">
        <f t="shared" si="25"/>
        <v>#N/A</v>
      </c>
      <c r="H44" s="62" t="e">
        <f t="shared" si="25"/>
        <v>#N/A</v>
      </c>
      <c r="I44" s="62" t="e">
        <f t="shared" si="25"/>
        <v>#N/A</v>
      </c>
      <c r="J44" s="62" t="e">
        <f t="shared" si="25"/>
        <v>#N/A</v>
      </c>
      <c r="K44" s="62" t="e">
        <f t="shared" si="25"/>
        <v>#N/A</v>
      </c>
      <c r="L44" s="62" t="e">
        <f t="shared" si="25"/>
        <v>#N/A</v>
      </c>
      <c r="M44" s="62" t="e">
        <f t="shared" si="25"/>
        <v>#N/A</v>
      </c>
      <c r="N44" s="62" t="e">
        <f t="shared" si="25"/>
        <v>#N/A</v>
      </c>
      <c r="O44" s="62" t="e">
        <f>SUM(B44:N44)</f>
        <v>#N/A</v>
      </c>
      <c r="P44" s="42"/>
    </row>
    <row r="45" spans="1:18" s="24" customFormat="1" x14ac:dyDescent="0.25">
      <c r="A45" s="272" t="s">
        <v>12</v>
      </c>
      <c r="B45" s="376" t="s">
        <v>483</v>
      </c>
      <c r="C45" s="246"/>
      <c r="D45" s="246"/>
      <c r="E45" s="246"/>
      <c r="F45" s="246"/>
      <c r="G45" s="247"/>
      <c r="H45" s="247"/>
      <c r="I45" s="247"/>
      <c r="J45" s="247"/>
      <c r="K45" s="36"/>
      <c r="L45" s="36"/>
      <c r="M45" s="36"/>
      <c r="N45" s="36"/>
      <c r="O45" s="36"/>
      <c r="P45" s="36"/>
    </row>
    <row r="46" spans="1:18" x14ac:dyDescent="0.25">
      <c r="A46" s="3" t="s">
        <v>6</v>
      </c>
      <c r="B46" s="380">
        <f>VLOOKUP($B$45,BancoTabla_1[],5,FALSE)</f>
        <v>0</v>
      </c>
      <c r="C46" s="380">
        <f>VLOOKUP($B$45,BancoTabla_2[],5,FALSE)</f>
        <v>0</v>
      </c>
      <c r="D46" s="380">
        <f>VLOOKUP($B$45,BancoTabla_3[],5,FALSE)</f>
        <v>0</v>
      </c>
      <c r="E46" s="380">
        <f>VLOOKUP($B$45,BancoTabla_4[],5,FALSE)</f>
        <v>0</v>
      </c>
      <c r="F46" s="380">
        <f>VLOOKUP($B$45,BancoTabla_5[],5,FALSE)</f>
        <v>0</v>
      </c>
      <c r="G46" s="380">
        <f>VLOOKUP($B$45,BancoTabla_6[],5,FALSE)</f>
        <v>17347.116860999999</v>
      </c>
      <c r="H46" s="380">
        <f>VLOOKUP($B$45,BancoTabla_7[],5,FALSE)</f>
        <v>0</v>
      </c>
      <c r="I46" s="380">
        <f>VLOOKUP($B$45,BancoTabla_8[],5,FALSE)</f>
        <v>0</v>
      </c>
      <c r="J46" s="380">
        <f>VLOOKUP($B$45,BancoTabla_9[],5,FALSE)</f>
        <v>0</v>
      </c>
      <c r="K46" s="380">
        <f>VLOOKUP($B$45,BancoTabla_10[],5,FALSE)</f>
        <v>0</v>
      </c>
      <c r="L46" s="380">
        <f>VLOOKUP($B$45,BancoTabla_11[],5,FALSE)</f>
        <v>0</v>
      </c>
      <c r="M46" s="380">
        <f>VLOOKUP($B$45,BancoTabla_12[],5,FALSE)</f>
        <v>0</v>
      </c>
      <c r="N46" s="380">
        <f>VLOOKUP($B$45,BancoTabla_13[],5,FALSE)</f>
        <v>0</v>
      </c>
      <c r="O46" s="79"/>
      <c r="P46" s="43">
        <f>MAX(B46:N46)</f>
        <v>17347.116860999999</v>
      </c>
      <c r="Q46" s="334">
        <f>P46/1000</f>
        <v>17.347116861</v>
      </c>
    </row>
    <row r="47" spans="1:18" x14ac:dyDescent="0.25">
      <c r="A47" s="3" t="s">
        <v>7</v>
      </c>
      <c r="B47" s="380">
        <f>VLOOKUP($B$45,BancoTabla_1[],8,FALSE)</f>
        <v>0</v>
      </c>
      <c r="C47" s="380">
        <f>VLOOKUP($B$45,BancoTabla_2[],8,FALSE)</f>
        <v>0</v>
      </c>
      <c r="D47" s="380">
        <f>VLOOKUP($B$45,BancoTabla_3[],8,FALSE)</f>
        <v>0</v>
      </c>
      <c r="E47" s="380">
        <f>VLOOKUP($B$45,BancoTabla_4[],8,FALSE)</f>
        <v>0</v>
      </c>
      <c r="F47" s="380">
        <f>VLOOKUP($B$45,BancoTabla_5[],8,FALSE)</f>
        <v>0</v>
      </c>
      <c r="G47" s="380">
        <f>VLOOKUP($B$45,BancoTabla_6[],8,FALSE)</f>
        <v>7381581.3351790002</v>
      </c>
      <c r="H47" s="380">
        <f>VLOOKUP($B$45,BancoTabla_7[],8,FALSE)</f>
        <v>0</v>
      </c>
      <c r="I47" s="380">
        <f>VLOOKUP($B$45,BancoTabla_8[],8,FALSE)</f>
        <v>0</v>
      </c>
      <c r="J47" s="380">
        <f>VLOOKUP($B$45,BancoTabla_9[],8,FALSE)</f>
        <v>0</v>
      </c>
      <c r="K47" s="380">
        <f>VLOOKUP($B$45,BancoTabla_10[],8,FALSE)</f>
        <v>0</v>
      </c>
      <c r="L47" s="380">
        <f>VLOOKUP($B$45,BancoTabla_11[],8,FALSE)</f>
        <v>0</v>
      </c>
      <c r="M47" s="380">
        <f>VLOOKUP($B$45,BancoTabla_12[],8,FALSE)</f>
        <v>0</v>
      </c>
      <c r="N47" s="380">
        <f>VLOOKUP($B$45,BancoTabla_13[],8,FALSE)</f>
        <v>0</v>
      </c>
      <c r="O47" s="47">
        <f>SUM(B47:N47)</f>
        <v>7381581.3351790002</v>
      </c>
      <c r="P47" s="4">
        <f>SUM(B47:N47)/(COUNTIF(B47:N47,"&gt;0"))</f>
        <v>7381581.3351790002</v>
      </c>
      <c r="R47" s="39"/>
    </row>
    <row r="48" spans="1:18" x14ac:dyDescent="0.25">
      <c r="A48" s="3" t="s">
        <v>16</v>
      </c>
      <c r="B48" s="37" t="e">
        <f t="shared" ref="B48:H48" si="26">+((B46/B50)^2-(B46^2))^(0.5)</f>
        <v>#DIV/0!</v>
      </c>
      <c r="C48" s="37" t="e">
        <f>+((C46/C50)^2-(C46^2))^(0.5)</f>
        <v>#DIV/0!</v>
      </c>
      <c r="D48" s="37" t="e">
        <f t="shared" si="26"/>
        <v>#DIV/0!</v>
      </c>
      <c r="E48" s="37" t="e">
        <f t="shared" si="26"/>
        <v>#DIV/0!</v>
      </c>
      <c r="F48" s="37" t="e">
        <f t="shared" si="26"/>
        <v>#DIV/0!</v>
      </c>
      <c r="G48" s="37">
        <f t="shared" si="26"/>
        <v>1329.9464430049857</v>
      </c>
      <c r="H48" s="37" t="e">
        <f t="shared" si="26"/>
        <v>#DIV/0!</v>
      </c>
      <c r="I48" s="37" t="e">
        <f t="shared" ref="I48:N48" si="27">+((I46/I50)^2-(I46^2))^(0.5)</f>
        <v>#DIV/0!</v>
      </c>
      <c r="J48" s="37" t="e">
        <f t="shared" si="27"/>
        <v>#DIV/0!</v>
      </c>
      <c r="K48" s="37" t="e">
        <f t="shared" si="27"/>
        <v>#DIV/0!</v>
      </c>
      <c r="L48" s="37" t="e">
        <f t="shared" si="27"/>
        <v>#DIV/0!</v>
      </c>
      <c r="M48" s="37" t="e">
        <f t="shared" si="27"/>
        <v>#DIV/0!</v>
      </c>
      <c r="N48" s="37" t="e">
        <f t="shared" si="27"/>
        <v>#DIV/0!</v>
      </c>
      <c r="O48" s="37"/>
      <c r="P48" s="4">
        <f>HLOOKUP(P46,B46:N48,3,FALSE)</f>
        <v>1329.9464430049857</v>
      </c>
    </row>
    <row r="49" spans="1:16" x14ac:dyDescent="0.25">
      <c r="A49" s="3" t="s">
        <v>8</v>
      </c>
      <c r="B49" s="37">
        <f t="shared" ref="B49:H49" si="28">+B47/(24*B$8)</f>
        <v>0</v>
      </c>
      <c r="C49" s="37">
        <f>+C47/(24*C$8)</f>
        <v>0</v>
      </c>
      <c r="D49" s="37">
        <f t="shared" si="28"/>
        <v>0</v>
      </c>
      <c r="E49" s="37">
        <f t="shared" si="28"/>
        <v>0</v>
      </c>
      <c r="F49" s="37">
        <f t="shared" si="28"/>
        <v>0</v>
      </c>
      <c r="G49" s="37">
        <f t="shared" si="28"/>
        <v>9921.4802892190855</v>
      </c>
      <c r="H49" s="37">
        <f t="shared" si="28"/>
        <v>0</v>
      </c>
      <c r="I49" s="37">
        <f t="shared" ref="I49:N49" si="29">+I47/(24*I$8)</f>
        <v>0</v>
      </c>
      <c r="J49" s="37">
        <f t="shared" si="29"/>
        <v>0</v>
      </c>
      <c r="K49" s="37">
        <f t="shared" si="29"/>
        <v>0</v>
      </c>
      <c r="L49" s="37">
        <f t="shared" si="29"/>
        <v>0</v>
      </c>
      <c r="M49" s="37">
        <f t="shared" si="29"/>
        <v>0</v>
      </c>
      <c r="N49" s="37">
        <f t="shared" si="29"/>
        <v>0</v>
      </c>
      <c r="O49" s="6">
        <f>SUM(O47)/(24*O$8)</f>
        <v>842.64627113915526</v>
      </c>
      <c r="P49" s="4">
        <f>O47/(COUNTIF(B47:N47,"&gt;0")*720)</f>
        <v>10252.196298859722</v>
      </c>
    </row>
    <row r="50" spans="1:16" x14ac:dyDescent="0.25">
      <c r="A50" s="3" t="s">
        <v>9</v>
      </c>
      <c r="B50" s="380">
        <f>VLOOKUP($B$45,BancoTabla_1[],10,FALSE)</f>
        <v>0</v>
      </c>
      <c r="C50" s="380">
        <f>VLOOKUP($B$45,BancoTabla_2[],10,FALSE)</f>
        <v>0</v>
      </c>
      <c r="D50" s="380">
        <f>VLOOKUP($B$45,BancoTabla_3[],10,FALSE)</f>
        <v>0</v>
      </c>
      <c r="E50" s="380">
        <f>VLOOKUP($B$45,BancoTabla_4[],10,FALSE)</f>
        <v>0</v>
      </c>
      <c r="F50" s="380">
        <f>VLOOKUP($B$45,BancoTabla_5[],10,FALSE)</f>
        <v>0</v>
      </c>
      <c r="G50" s="380">
        <f>VLOOKUP($B$45,BancoTabla_6[],10,FALSE)</f>
        <v>0.99707400000000002</v>
      </c>
      <c r="H50" s="380">
        <f>VLOOKUP($B$45,BancoTabla_7[],10,FALSE)</f>
        <v>0</v>
      </c>
      <c r="I50" s="380">
        <f>VLOOKUP($B$45,BancoTabla_8[],10,FALSE)</f>
        <v>0</v>
      </c>
      <c r="J50" s="380">
        <f>VLOOKUP($B$45,BancoTabla_9[],10,FALSE)</f>
        <v>0</v>
      </c>
      <c r="K50" s="380">
        <f>VLOOKUP($B$45,BancoTabla_10[],10,FALSE)</f>
        <v>0</v>
      </c>
      <c r="L50" s="380">
        <f>VLOOKUP($B$45,BancoTabla_11[],10,FALSE)</f>
        <v>0</v>
      </c>
      <c r="M50" s="380">
        <f>VLOOKUP($B$45,BancoTabla_12[],10,FALSE)</f>
        <v>0</v>
      </c>
      <c r="N50" s="380">
        <f>VLOOKUP($B$45,BancoTabla_13[],10,FALSE)</f>
        <v>0</v>
      </c>
      <c r="O50" s="6"/>
      <c r="P50" s="4">
        <f>COS(ATAN(P48/P46))</f>
        <v>0.99707400000000002</v>
      </c>
    </row>
    <row r="51" spans="1:16" x14ac:dyDescent="0.25">
      <c r="A51" s="3" t="s">
        <v>17</v>
      </c>
      <c r="B51" s="37" t="e">
        <f t="shared" ref="B51:H51" si="30">+B49/B46</f>
        <v>#DIV/0!</v>
      </c>
      <c r="C51" s="37" t="e">
        <f>+C49/C46</f>
        <v>#DIV/0!</v>
      </c>
      <c r="D51" s="37" t="e">
        <f t="shared" si="30"/>
        <v>#DIV/0!</v>
      </c>
      <c r="E51" s="37" t="e">
        <f t="shared" si="30"/>
        <v>#DIV/0!</v>
      </c>
      <c r="F51" s="37" t="e">
        <f t="shared" si="30"/>
        <v>#DIV/0!</v>
      </c>
      <c r="G51" s="37">
        <f t="shared" si="30"/>
        <v>0.57193828627076815</v>
      </c>
      <c r="H51" s="37" t="e">
        <f t="shared" si="30"/>
        <v>#DIV/0!</v>
      </c>
      <c r="I51" s="37" t="e">
        <f t="shared" ref="I51:N51" si="31">+I49/I46</f>
        <v>#DIV/0!</v>
      </c>
      <c r="J51" s="37" t="e">
        <f t="shared" si="31"/>
        <v>#DIV/0!</v>
      </c>
      <c r="K51" s="37" t="e">
        <f t="shared" si="31"/>
        <v>#DIV/0!</v>
      </c>
      <c r="L51" s="37" t="e">
        <f t="shared" si="31"/>
        <v>#DIV/0!</v>
      </c>
      <c r="M51" s="37" t="e">
        <f t="shared" si="31"/>
        <v>#DIV/0!</v>
      </c>
      <c r="N51" s="37" t="e">
        <f t="shared" si="31"/>
        <v>#DIV/0!</v>
      </c>
      <c r="O51" s="6"/>
      <c r="P51" s="4">
        <f>+P49/P46</f>
        <v>0.59100289581312704</v>
      </c>
    </row>
    <row r="52" spans="1:16" x14ac:dyDescent="0.25">
      <c r="A52" s="3" t="s">
        <v>18</v>
      </c>
      <c r="B52" s="37" t="e">
        <f t="shared" ref="B52:H52" si="32">+B43/B46</f>
        <v>#N/A</v>
      </c>
      <c r="C52" s="37" t="e">
        <f>+C43/C46</f>
        <v>#N/A</v>
      </c>
      <c r="D52" s="37" t="e">
        <f t="shared" si="32"/>
        <v>#N/A</v>
      </c>
      <c r="E52" s="181" t="e">
        <f t="shared" si="32"/>
        <v>#N/A</v>
      </c>
      <c r="F52" s="37" t="e">
        <f t="shared" si="32"/>
        <v>#N/A</v>
      </c>
      <c r="G52" s="37" t="e">
        <f t="shared" si="32"/>
        <v>#N/A</v>
      </c>
      <c r="H52" s="37" t="e">
        <f t="shared" si="32"/>
        <v>#N/A</v>
      </c>
      <c r="I52" s="37" t="e">
        <f t="shared" ref="I52:N52" si="33">+I43/I46</f>
        <v>#N/A</v>
      </c>
      <c r="J52" s="37" t="e">
        <f t="shared" si="33"/>
        <v>#N/A</v>
      </c>
      <c r="K52" s="37" t="e">
        <f t="shared" si="33"/>
        <v>#N/A</v>
      </c>
      <c r="L52" s="37" t="e">
        <f t="shared" si="33"/>
        <v>#N/A</v>
      </c>
      <c r="M52" s="37" t="e">
        <f t="shared" si="33"/>
        <v>#N/A</v>
      </c>
      <c r="N52" s="37" t="e">
        <f t="shared" si="33"/>
        <v>#N/A</v>
      </c>
      <c r="O52" s="6"/>
      <c r="P52" s="4" t="e">
        <f>+P43/P46</f>
        <v>#N/A</v>
      </c>
    </row>
    <row r="53" spans="1:16" x14ac:dyDescent="0.25">
      <c r="A53" s="3" t="s">
        <v>19</v>
      </c>
      <c r="B53" s="37">
        <f t="shared" ref="B53:H53" si="34">+B46/$B$54</f>
        <v>0</v>
      </c>
      <c r="C53" s="37">
        <f>+C46/$B$54</f>
        <v>0</v>
      </c>
      <c r="D53" s="37">
        <f t="shared" si="34"/>
        <v>0</v>
      </c>
      <c r="E53" s="37">
        <f t="shared" si="34"/>
        <v>0</v>
      </c>
      <c r="F53" s="37">
        <f t="shared" si="34"/>
        <v>0</v>
      </c>
      <c r="G53" s="37">
        <f t="shared" si="34"/>
        <v>0.86990117388478683</v>
      </c>
      <c r="H53" s="37">
        <f t="shared" si="34"/>
        <v>0</v>
      </c>
      <c r="I53" s="37">
        <f t="shared" ref="I53:N53" si="35">+I46/$B$54</f>
        <v>0</v>
      </c>
      <c r="J53" s="37">
        <f t="shared" si="35"/>
        <v>0</v>
      </c>
      <c r="K53" s="37">
        <f t="shared" si="35"/>
        <v>0</v>
      </c>
      <c r="L53" s="37">
        <f t="shared" si="35"/>
        <v>0</v>
      </c>
      <c r="M53" s="37">
        <f t="shared" si="35"/>
        <v>0</v>
      </c>
      <c r="N53" s="37">
        <f t="shared" si="35"/>
        <v>0</v>
      </c>
      <c r="O53" s="6"/>
      <c r="P53" s="4">
        <f>+P46/$B$54</f>
        <v>0.86990117388478683</v>
      </c>
    </row>
    <row r="54" spans="1:16" x14ac:dyDescent="0.25">
      <c r="A54" s="3" t="s">
        <v>20</v>
      </c>
      <c r="B54" s="37">
        <f>20*P50*1000</f>
        <v>19941.48</v>
      </c>
      <c r="C54" s="37"/>
      <c r="D54" s="37"/>
      <c r="E54" s="37"/>
      <c r="F54" s="37"/>
      <c r="G54" s="36"/>
      <c r="H54" s="36"/>
      <c r="I54" s="36"/>
      <c r="J54" s="36"/>
      <c r="K54" s="37"/>
      <c r="L54" s="37"/>
      <c r="M54" s="37"/>
      <c r="N54" s="37"/>
      <c r="O54" s="37"/>
      <c r="P54" s="4"/>
    </row>
    <row r="55" spans="1:16" x14ac:dyDescent="0.25">
      <c r="A55" s="32"/>
      <c r="B55" s="237">
        <f>B46/$B$54</f>
        <v>0</v>
      </c>
      <c r="C55" s="237">
        <f>C46/$B$54</f>
        <v>0</v>
      </c>
      <c r="D55" s="237">
        <f t="shared" ref="D55:N55" si="36">D46/$B$54</f>
        <v>0</v>
      </c>
      <c r="E55" s="237">
        <f t="shared" si="36"/>
        <v>0</v>
      </c>
      <c r="F55" s="237">
        <f t="shared" si="36"/>
        <v>0</v>
      </c>
      <c r="G55" s="237">
        <f t="shared" si="36"/>
        <v>0.86990117388478683</v>
      </c>
      <c r="H55" s="237">
        <f t="shared" si="36"/>
        <v>0</v>
      </c>
      <c r="I55" s="237">
        <f t="shared" si="36"/>
        <v>0</v>
      </c>
      <c r="J55" s="237">
        <f t="shared" si="36"/>
        <v>0</v>
      </c>
      <c r="K55" s="237">
        <f t="shared" si="36"/>
        <v>0</v>
      </c>
      <c r="L55" s="237">
        <f t="shared" si="36"/>
        <v>0</v>
      </c>
      <c r="M55" s="237">
        <f t="shared" si="36"/>
        <v>0</v>
      </c>
      <c r="N55" s="237">
        <f t="shared" si="36"/>
        <v>0</v>
      </c>
      <c r="O55" s="35"/>
      <c r="P55" s="33"/>
    </row>
    <row r="56" spans="1:16" x14ac:dyDescent="0.25">
      <c r="A56" s="86"/>
      <c r="B56" s="77"/>
      <c r="C56" s="77"/>
      <c r="D56" s="77"/>
      <c r="E56" s="77"/>
      <c r="F56" s="24"/>
      <c r="G56" s="77"/>
      <c r="H56" s="77"/>
      <c r="I56" s="77"/>
      <c r="J56" s="77"/>
      <c r="K56" s="77"/>
      <c r="L56" s="77"/>
      <c r="M56" s="77"/>
      <c r="N56" s="77"/>
      <c r="O56" s="77"/>
      <c r="P56" s="83"/>
    </row>
    <row r="57" spans="1:16" s="24" customFormat="1" x14ac:dyDescent="0.25">
      <c r="A57" s="271" t="s">
        <v>240</v>
      </c>
      <c r="B57" s="65"/>
      <c r="C57" s="65"/>
      <c r="D57" s="65"/>
      <c r="E57" s="65"/>
      <c r="F57" s="65"/>
      <c r="G57" s="66"/>
      <c r="H57" s="66"/>
      <c r="I57" s="66"/>
      <c r="J57" s="66"/>
      <c r="K57" s="50"/>
      <c r="L57" s="50"/>
      <c r="M57" s="50"/>
      <c r="N57" s="50"/>
      <c r="O57" s="50"/>
      <c r="P57" s="50"/>
    </row>
    <row r="58" spans="1:16" x14ac:dyDescent="0.25">
      <c r="A58" s="3" t="s">
        <v>6</v>
      </c>
      <c r="B58" s="380">
        <f>VLOOKUP($A$57,TABLA_1[],5,FALSE)</f>
        <v>0</v>
      </c>
      <c r="C58" s="380">
        <f>VLOOKUP($A$57,TABLA_2[],5,FALSE)</f>
        <v>0</v>
      </c>
      <c r="D58" s="380">
        <f>VLOOKUP($A$57,TABLA_3[],5,FALSE)</f>
        <v>0</v>
      </c>
      <c r="E58" s="380">
        <f>VLOOKUP($A$57,TABLA_4[],5,FALSE)</f>
        <v>0</v>
      </c>
      <c r="F58" s="380">
        <f>VLOOKUP($A$57,TABLA_5[],5,FALSE)</f>
        <v>0</v>
      </c>
      <c r="G58" s="380">
        <f>VLOOKUP($A$57,TABLA_6[],5,FALSE)</f>
        <v>4355.3299960000004</v>
      </c>
      <c r="H58" s="380">
        <f>VLOOKUP($A$57,TABLA_7[],5,FALSE)</f>
        <v>0</v>
      </c>
      <c r="I58" s="380">
        <f>VLOOKUP($A$57,TABLA_8[],5,FALSE)</f>
        <v>0</v>
      </c>
      <c r="J58" s="380">
        <f>VLOOKUP($A$57,TABLA_9[],5,FALSE)</f>
        <v>0</v>
      </c>
      <c r="K58" s="380">
        <f>VLOOKUP($A$57,TABLA_10[],5,FALSE)</f>
        <v>0</v>
      </c>
      <c r="L58" s="380">
        <f>VLOOKUP($A$57,TABLA_11[],5,FALSE)</f>
        <v>0</v>
      </c>
      <c r="M58" s="380">
        <f>VLOOKUP($A$57,TABLA_12[],5,FALSE)</f>
        <v>0</v>
      </c>
      <c r="N58" s="380">
        <f>VLOOKUP($A$57,TABLA_13[],5,FALSE)</f>
        <v>0</v>
      </c>
      <c r="O58" s="6"/>
      <c r="P58" s="43">
        <f>MAX(B58:N58)</f>
        <v>4355.3299960000004</v>
      </c>
    </row>
    <row r="59" spans="1:16" x14ac:dyDescent="0.25">
      <c r="A59" s="3" t="s">
        <v>7</v>
      </c>
      <c r="B59" s="380">
        <f>VLOOKUP($A$57,TABLA_1[],8,FALSE)</f>
        <v>0</v>
      </c>
      <c r="C59" s="380">
        <f>VLOOKUP($A$57,TABLA_2[],8,FALSE)</f>
        <v>0</v>
      </c>
      <c r="D59" s="380">
        <f>VLOOKUP($A$57,TABLA_3[],8,FALSE)</f>
        <v>0</v>
      </c>
      <c r="E59" s="380">
        <f>VLOOKUP($A$57,TABLA_4[],8,FALSE)</f>
        <v>0</v>
      </c>
      <c r="F59" s="380">
        <f>VLOOKUP($A$57,TABLA_5[],8,FALSE)</f>
        <v>0</v>
      </c>
      <c r="G59" s="380">
        <f>VLOOKUP($A$57,TABLA_6[],8,FALSE)</f>
        <v>1688375.1356510001</v>
      </c>
      <c r="H59" s="380">
        <f>VLOOKUP($A$57,TABLA_7[],8,FALSE)</f>
        <v>0</v>
      </c>
      <c r="I59" s="380">
        <f>VLOOKUP($A$57,TABLA_8[],8,FALSE)</f>
        <v>0</v>
      </c>
      <c r="J59" s="380">
        <f>VLOOKUP($A$57,TABLA_9[],8,FALSE)</f>
        <v>0</v>
      </c>
      <c r="K59" s="380">
        <f>VLOOKUP($A$57,TABLA_10[],8,FALSE)</f>
        <v>0</v>
      </c>
      <c r="L59" s="380">
        <f>VLOOKUP($A$57,TABLA_11[],8,FALSE)</f>
        <v>0</v>
      </c>
      <c r="M59" s="380">
        <f>VLOOKUP($A$57,TABLA_12[],8,FALSE)</f>
        <v>0</v>
      </c>
      <c r="N59" s="380">
        <f>VLOOKUP($A$57,TABLA_13[],8,FALSE)</f>
        <v>0</v>
      </c>
      <c r="O59" s="47">
        <f>SUM(B59:N59)</f>
        <v>1688375.1356510001</v>
      </c>
      <c r="P59" s="43">
        <f>SUM(B59:N59)/(COUNTIF(B59:N59,"&gt;0"))</f>
        <v>1688375.1356510001</v>
      </c>
    </row>
    <row r="60" spans="1:16" x14ac:dyDescent="0.25">
      <c r="A60" s="3" t="s">
        <v>16</v>
      </c>
      <c r="B60" s="37" t="e">
        <f t="shared" ref="B60:H60" si="37">+((B58/B62)^2-(B58^2))^(0.5)</f>
        <v>#DIV/0!</v>
      </c>
      <c r="C60" s="37" t="e">
        <f>+((C58/C62)^2-(C58^2))^(0.5)</f>
        <v>#DIV/0!</v>
      </c>
      <c r="D60" s="37" t="e">
        <f t="shared" si="37"/>
        <v>#DIV/0!</v>
      </c>
      <c r="E60" s="37" t="e">
        <f t="shared" si="37"/>
        <v>#DIV/0!</v>
      </c>
      <c r="F60" s="37" t="e">
        <f t="shared" si="37"/>
        <v>#DIV/0!</v>
      </c>
      <c r="G60" s="37">
        <f t="shared" si="37"/>
        <v>484.9918345584245</v>
      </c>
      <c r="H60" s="37" t="e">
        <f t="shared" si="37"/>
        <v>#DIV/0!</v>
      </c>
      <c r="I60" s="37" t="e">
        <f t="shared" ref="I60:N60" si="38">+((I58/I62)^2-(I58^2))^(0.5)</f>
        <v>#DIV/0!</v>
      </c>
      <c r="J60" s="37" t="e">
        <f t="shared" si="38"/>
        <v>#DIV/0!</v>
      </c>
      <c r="K60" s="37" t="e">
        <f t="shared" si="38"/>
        <v>#DIV/0!</v>
      </c>
      <c r="L60" s="37" t="e">
        <f t="shared" si="38"/>
        <v>#DIV/0!</v>
      </c>
      <c r="M60" s="37" t="e">
        <f t="shared" si="38"/>
        <v>#DIV/0!</v>
      </c>
      <c r="N60" s="37" t="e">
        <f t="shared" si="38"/>
        <v>#DIV/0!</v>
      </c>
      <c r="O60" s="37"/>
      <c r="P60" s="4">
        <f>HLOOKUP(P58,B58:N60,3,FALSE)</f>
        <v>484.9918345584245</v>
      </c>
    </row>
    <row r="61" spans="1:16" x14ac:dyDescent="0.25">
      <c r="A61" s="3" t="s">
        <v>8</v>
      </c>
      <c r="B61" s="37">
        <f t="shared" ref="B61:H61" si="39">+B59/(24*B$8)</f>
        <v>0</v>
      </c>
      <c r="C61" s="37">
        <f>+C59/(24*C$8)</f>
        <v>0</v>
      </c>
      <c r="D61" s="37">
        <f t="shared" si="39"/>
        <v>0</v>
      </c>
      <c r="E61" s="37">
        <f t="shared" si="39"/>
        <v>0</v>
      </c>
      <c r="F61" s="37">
        <f t="shared" si="39"/>
        <v>0</v>
      </c>
      <c r="G61" s="37">
        <f t="shared" si="39"/>
        <v>2269.3214188857528</v>
      </c>
      <c r="H61" s="37">
        <f t="shared" si="39"/>
        <v>0</v>
      </c>
      <c r="I61" s="37">
        <f t="shared" ref="I61:N61" si="40">+I59/(24*I$8)</f>
        <v>0</v>
      </c>
      <c r="J61" s="37">
        <f t="shared" si="40"/>
        <v>0</v>
      </c>
      <c r="K61" s="37">
        <f t="shared" si="40"/>
        <v>0</v>
      </c>
      <c r="L61" s="37">
        <f t="shared" si="40"/>
        <v>0</v>
      </c>
      <c r="M61" s="37">
        <f t="shared" si="40"/>
        <v>0</v>
      </c>
      <c r="N61" s="37">
        <f t="shared" si="40"/>
        <v>0</v>
      </c>
      <c r="O61" s="6">
        <f>SUM(O59)/(24*O$8)</f>
        <v>192.7368876313927</v>
      </c>
      <c r="P61" s="4">
        <f>O59/(COUNTIF(B59:N59,"&gt;0")*720)</f>
        <v>2344.9654661819445</v>
      </c>
    </row>
    <row r="62" spans="1:16" x14ac:dyDescent="0.25">
      <c r="A62" s="3" t="s">
        <v>9</v>
      </c>
      <c r="B62" s="380">
        <f>VLOOKUP($A$57,TABLA_1[],10,FALSE)</f>
        <v>0</v>
      </c>
      <c r="C62" s="380">
        <f>VLOOKUP($A$57,TABLA_2[],10,FALSE)</f>
        <v>0</v>
      </c>
      <c r="D62" s="380">
        <f>VLOOKUP($A$57,TABLA_3[],10,FALSE)</f>
        <v>0</v>
      </c>
      <c r="E62" s="380">
        <f>VLOOKUP($A$57,TABLA_4[],10,FALSE)</f>
        <v>0</v>
      </c>
      <c r="F62" s="380">
        <f>VLOOKUP($A$57,TABLA_5[],10,FALSE)</f>
        <v>0</v>
      </c>
      <c r="G62" s="380">
        <f>VLOOKUP($A$57,TABLA_6[],10,FALSE)</f>
        <v>0.99385699999999999</v>
      </c>
      <c r="H62" s="380">
        <f>VLOOKUP($A$57,TABLA_7[],10,FALSE)</f>
        <v>0</v>
      </c>
      <c r="I62" s="380">
        <f>VLOOKUP($A$57,TABLA_8[],10,FALSE)</f>
        <v>0</v>
      </c>
      <c r="J62" s="380">
        <f>VLOOKUP($A$57,TABLA_9[],10,FALSE)</f>
        <v>0</v>
      </c>
      <c r="K62" s="380">
        <f>VLOOKUP($A$57,TABLA_10[],10,FALSE)</f>
        <v>0</v>
      </c>
      <c r="L62" s="380">
        <f>VLOOKUP($A$57,TABLA_11[],10,FALSE)</f>
        <v>0</v>
      </c>
      <c r="M62" s="380">
        <f>VLOOKUP($A$57,TABLA_12[],10,FALSE)</f>
        <v>0</v>
      </c>
      <c r="N62" s="380">
        <f>VLOOKUP($A$57,TABLA_13[],10,FALSE)</f>
        <v>0</v>
      </c>
      <c r="O62" s="6"/>
      <c r="P62" s="4">
        <f>COS(ATAN(P60/P58))</f>
        <v>0.9938570000000001</v>
      </c>
    </row>
    <row r="63" spans="1:16" x14ac:dyDescent="0.25">
      <c r="A63" s="3" t="s">
        <v>17</v>
      </c>
      <c r="B63" s="37" t="e">
        <f t="shared" ref="B63:H63" si="41">+B61/B58</f>
        <v>#DIV/0!</v>
      </c>
      <c r="C63" s="37" t="e">
        <f>+C61/C58</f>
        <v>#DIV/0!</v>
      </c>
      <c r="D63" s="37" t="e">
        <f t="shared" si="41"/>
        <v>#DIV/0!</v>
      </c>
      <c r="E63" s="37" t="e">
        <f t="shared" si="41"/>
        <v>#DIV/0!</v>
      </c>
      <c r="F63" s="37" t="e">
        <f t="shared" si="41"/>
        <v>#DIV/0!</v>
      </c>
      <c r="G63" s="37">
        <f t="shared" si="41"/>
        <v>0.52104465585155002</v>
      </c>
      <c r="H63" s="37" t="e">
        <f t="shared" si="41"/>
        <v>#DIV/0!</v>
      </c>
      <c r="I63" s="37" t="e">
        <f t="shared" ref="I63:N63" si="42">+I61/I58</f>
        <v>#DIV/0!</v>
      </c>
      <c r="J63" s="37" t="e">
        <f t="shared" si="42"/>
        <v>#DIV/0!</v>
      </c>
      <c r="K63" s="37" t="e">
        <f t="shared" si="42"/>
        <v>#DIV/0!</v>
      </c>
      <c r="L63" s="37" t="e">
        <f t="shared" si="42"/>
        <v>#DIV/0!</v>
      </c>
      <c r="M63" s="37" t="e">
        <f t="shared" si="42"/>
        <v>#DIV/0!</v>
      </c>
      <c r="N63" s="37" t="e">
        <f t="shared" si="42"/>
        <v>#DIV/0!</v>
      </c>
      <c r="O63" s="6"/>
      <c r="P63" s="4">
        <f>+P61/P58</f>
        <v>0.53841281104660166</v>
      </c>
    </row>
    <row r="64" spans="1:16" s="24" customFormat="1" x14ac:dyDescent="0.25">
      <c r="A64" s="271" t="s">
        <v>241</v>
      </c>
      <c r="B64" s="65"/>
      <c r="C64" s="65"/>
      <c r="D64" s="65"/>
      <c r="E64" s="65"/>
      <c r="F64" s="65"/>
      <c r="G64" s="66"/>
      <c r="H64" s="66"/>
      <c r="I64" s="66"/>
      <c r="J64" s="66"/>
      <c r="K64" s="50"/>
      <c r="L64" s="50"/>
      <c r="M64" s="50"/>
      <c r="N64" s="50"/>
      <c r="O64" s="50"/>
      <c r="P64" s="50"/>
    </row>
    <row r="65" spans="1:16" x14ac:dyDescent="0.25">
      <c r="A65" s="3" t="s">
        <v>6</v>
      </c>
      <c r="B65" s="380">
        <f>VLOOKUP($A$64,TABLA_1[],5,FALSE)</f>
        <v>0</v>
      </c>
      <c r="C65" s="380">
        <f>VLOOKUP($A$64,TABLA_2[],5,FALSE)</f>
        <v>0</v>
      </c>
      <c r="D65" s="380">
        <f>VLOOKUP($A$64,TABLA_3[],5,FALSE)</f>
        <v>0</v>
      </c>
      <c r="E65" s="380">
        <f>VLOOKUP($A$64,TABLA_4[],5,FALSE)</f>
        <v>0</v>
      </c>
      <c r="F65" s="380">
        <f>VLOOKUP($A$64,TABLA_5[],5,FALSE)</f>
        <v>0</v>
      </c>
      <c r="G65" s="380">
        <f>VLOOKUP($A$64,TABLA_6[],5,FALSE)</f>
        <v>5072.4082840000001</v>
      </c>
      <c r="H65" s="380">
        <f>VLOOKUP($A$64,TABLA_7[],5,FALSE)</f>
        <v>0</v>
      </c>
      <c r="I65" s="380">
        <f>VLOOKUP($A$64,TABLA_8[],5,FALSE)</f>
        <v>0</v>
      </c>
      <c r="J65" s="380">
        <f>VLOOKUP($A$64,TABLA_9[],5,FALSE)</f>
        <v>0</v>
      </c>
      <c r="K65" s="380">
        <f>VLOOKUP($A$64,TABLA_10[],5,FALSE)</f>
        <v>0</v>
      </c>
      <c r="L65" s="380">
        <f>VLOOKUP($A$64,TABLA_11[],5,FALSE)</f>
        <v>0</v>
      </c>
      <c r="M65" s="380">
        <f>VLOOKUP($A$64,TABLA_12[],5,FALSE)</f>
        <v>0</v>
      </c>
      <c r="N65" s="380">
        <f>VLOOKUP($A$64,TABLA_13[],5,FALSE)</f>
        <v>0</v>
      </c>
      <c r="O65" s="6"/>
      <c r="P65" s="43">
        <f>MAX(B65:N65)</f>
        <v>5072.4082840000001</v>
      </c>
    </row>
    <row r="66" spans="1:16" x14ac:dyDescent="0.25">
      <c r="A66" s="3" t="s">
        <v>7</v>
      </c>
      <c r="B66" s="380">
        <f>VLOOKUP($A$64,TABLA_1[],8,FALSE)</f>
        <v>0</v>
      </c>
      <c r="C66" s="380">
        <f>VLOOKUP($A$64,TABLA_2[],8,FALSE)</f>
        <v>0</v>
      </c>
      <c r="D66" s="380">
        <f>VLOOKUP($A$64,TABLA_3[],8,FALSE)</f>
        <v>0</v>
      </c>
      <c r="E66" s="380">
        <f>VLOOKUP($A$64,TABLA_4[],8,FALSE)</f>
        <v>0</v>
      </c>
      <c r="F66" s="380">
        <f>VLOOKUP($A$64,TABLA_5[],8,FALSE)</f>
        <v>0</v>
      </c>
      <c r="G66" s="380">
        <f>VLOOKUP($A$64,TABLA_6[],8,FALSE)</f>
        <v>2258098.6128409998</v>
      </c>
      <c r="H66" s="380">
        <f>VLOOKUP($A$64,TABLA_7[],8,FALSE)</f>
        <v>0</v>
      </c>
      <c r="I66" s="380">
        <f>VLOOKUP($A$64,TABLA_8[],8,FALSE)</f>
        <v>0</v>
      </c>
      <c r="J66" s="380">
        <f>VLOOKUP($A$64,TABLA_9[],8,FALSE)</f>
        <v>0</v>
      </c>
      <c r="K66" s="380">
        <f>VLOOKUP($A$64,TABLA_10[],8,FALSE)</f>
        <v>0</v>
      </c>
      <c r="L66" s="380">
        <f>VLOOKUP($A$64,TABLA_11[],8,FALSE)</f>
        <v>0</v>
      </c>
      <c r="M66" s="380">
        <f>VLOOKUP($A$64,TABLA_12[],8,FALSE)</f>
        <v>0</v>
      </c>
      <c r="N66" s="380">
        <f>VLOOKUP($A$64,TABLA_13[],8,FALSE)</f>
        <v>0</v>
      </c>
      <c r="O66" s="47">
        <f>SUM(B66:N66)</f>
        <v>2258098.6128409998</v>
      </c>
      <c r="P66" s="43">
        <f>SUM(B66:N66)/(COUNTIF(B66:N66,"&gt;0"))</f>
        <v>2258098.6128409998</v>
      </c>
    </row>
    <row r="67" spans="1:16" x14ac:dyDescent="0.25">
      <c r="A67" s="3" t="s">
        <v>16</v>
      </c>
      <c r="B67" s="37" t="e">
        <f t="shared" ref="B67:N67" si="43">+((B65/B69)^2-(B65^2))^(0.5)</f>
        <v>#DIV/0!</v>
      </c>
      <c r="C67" s="37" t="e">
        <f>+((C65/C69)^2-(C65^2))^(0.5)</f>
        <v>#DIV/0!</v>
      </c>
      <c r="D67" s="37" t="e">
        <f t="shared" si="43"/>
        <v>#DIV/0!</v>
      </c>
      <c r="E67" s="37" t="e">
        <f t="shared" si="43"/>
        <v>#DIV/0!</v>
      </c>
      <c r="F67" s="37" t="e">
        <f t="shared" si="43"/>
        <v>#DIV/0!</v>
      </c>
      <c r="G67" s="37">
        <f t="shared" si="43"/>
        <v>657.27384254442154</v>
      </c>
      <c r="H67" s="37" t="e">
        <f t="shared" si="43"/>
        <v>#DIV/0!</v>
      </c>
      <c r="I67" s="37" t="e">
        <f t="shared" si="43"/>
        <v>#DIV/0!</v>
      </c>
      <c r="J67" s="37" t="e">
        <f t="shared" si="43"/>
        <v>#DIV/0!</v>
      </c>
      <c r="K67" s="37" t="e">
        <f t="shared" si="43"/>
        <v>#DIV/0!</v>
      </c>
      <c r="L67" s="37" t="e">
        <f t="shared" si="43"/>
        <v>#DIV/0!</v>
      </c>
      <c r="M67" s="37" t="e">
        <f t="shared" si="43"/>
        <v>#DIV/0!</v>
      </c>
      <c r="N67" s="37" t="e">
        <f t="shared" si="43"/>
        <v>#DIV/0!</v>
      </c>
      <c r="O67" s="37"/>
      <c r="P67" s="4">
        <f>HLOOKUP(P65,B65:N67,3,FALSE)</f>
        <v>657.27384254442154</v>
      </c>
    </row>
    <row r="68" spans="1:16" x14ac:dyDescent="0.25">
      <c r="A68" s="3" t="s">
        <v>8</v>
      </c>
      <c r="B68" s="37">
        <f t="shared" ref="B68:H68" si="44">+B66/(24*B$8)</f>
        <v>0</v>
      </c>
      <c r="C68" s="37">
        <f>+C66/(24*C$8)</f>
        <v>0</v>
      </c>
      <c r="D68" s="37">
        <f t="shared" si="44"/>
        <v>0</v>
      </c>
      <c r="E68" s="37">
        <f t="shared" si="44"/>
        <v>0</v>
      </c>
      <c r="F68" s="37">
        <f t="shared" si="44"/>
        <v>0</v>
      </c>
      <c r="G68" s="37">
        <f t="shared" si="44"/>
        <v>3035.0787807002685</v>
      </c>
      <c r="H68" s="37">
        <f t="shared" si="44"/>
        <v>0</v>
      </c>
      <c r="I68" s="37">
        <f t="shared" ref="I68:N68" si="45">+I66/(24*I$8)</f>
        <v>0</v>
      </c>
      <c r="J68" s="37">
        <f t="shared" si="45"/>
        <v>0</v>
      </c>
      <c r="K68" s="37">
        <f t="shared" si="45"/>
        <v>0</v>
      </c>
      <c r="L68" s="37">
        <f t="shared" si="45"/>
        <v>0</v>
      </c>
      <c r="M68" s="37">
        <f t="shared" si="45"/>
        <v>0</v>
      </c>
      <c r="N68" s="37">
        <f t="shared" si="45"/>
        <v>0</v>
      </c>
      <c r="O68" s="6">
        <f>SUM(O66)/(24*O$8)</f>
        <v>257.77381425125571</v>
      </c>
      <c r="P68" s="4">
        <f>O66/(COUNTIF(B66:N66,"&gt;0")*720)</f>
        <v>3136.2480733902776</v>
      </c>
    </row>
    <row r="69" spans="1:16" x14ac:dyDescent="0.25">
      <c r="A69" s="3" t="s">
        <v>9</v>
      </c>
      <c r="B69" s="380">
        <f>VLOOKUP($A$64,TABLA_1[],10,FALSE)</f>
        <v>0</v>
      </c>
      <c r="C69" s="380">
        <f>VLOOKUP($A$64,TABLA_2[],10,FALSE)</f>
        <v>0</v>
      </c>
      <c r="D69" s="380">
        <f>VLOOKUP($A$64,TABLA_3[],10,FALSE)</f>
        <v>0</v>
      </c>
      <c r="E69" s="380">
        <f>VLOOKUP($A$64,TABLA_4[],10,FALSE)</f>
        <v>0</v>
      </c>
      <c r="F69" s="380">
        <f>VLOOKUP($A$64,TABLA_5[],10,FALSE)</f>
        <v>0</v>
      </c>
      <c r="G69" s="380">
        <f>VLOOKUP($A$64,TABLA_6[],10,FALSE)</f>
        <v>0.99170899999999995</v>
      </c>
      <c r="H69" s="380">
        <f>VLOOKUP($A$64,TABLA_7[],10,FALSE)</f>
        <v>0</v>
      </c>
      <c r="I69" s="380">
        <f>VLOOKUP($A$64,TABLA_8[],10,FALSE)</f>
        <v>0</v>
      </c>
      <c r="J69" s="380">
        <f>VLOOKUP($A$64,TABLA_9[],10,FALSE)</f>
        <v>0</v>
      </c>
      <c r="K69" s="380">
        <f>VLOOKUP($A$64,TABLA_10[],10,FALSE)</f>
        <v>0</v>
      </c>
      <c r="L69" s="380">
        <f>VLOOKUP($A$64,TABLA_11[],10,FALSE)</f>
        <v>0</v>
      </c>
      <c r="M69" s="380">
        <f>VLOOKUP($A$64,TABLA_12[],10,FALSE)</f>
        <v>0</v>
      </c>
      <c r="N69" s="380">
        <f>VLOOKUP($A$64,TABLA_13[],10,FALSE)</f>
        <v>0</v>
      </c>
      <c r="O69" s="6"/>
      <c r="P69" s="4">
        <f>COS(ATAN(P67/P65))</f>
        <v>0.99170899999999984</v>
      </c>
    </row>
    <row r="70" spans="1:16" x14ac:dyDescent="0.25">
      <c r="A70" s="3" t="s">
        <v>17</v>
      </c>
      <c r="B70" s="37" t="e">
        <f t="shared" ref="B70:H70" si="46">+B68/B65</f>
        <v>#DIV/0!</v>
      </c>
      <c r="C70" s="37" t="e">
        <f>+C68/C65</f>
        <v>#DIV/0!</v>
      </c>
      <c r="D70" s="37" t="e">
        <f t="shared" si="46"/>
        <v>#DIV/0!</v>
      </c>
      <c r="E70" s="37" t="e">
        <f t="shared" si="46"/>
        <v>#DIV/0!</v>
      </c>
      <c r="F70" s="37" t="e">
        <f t="shared" si="46"/>
        <v>#DIV/0!</v>
      </c>
      <c r="G70" s="37">
        <f t="shared" si="46"/>
        <v>0.59835064741808719</v>
      </c>
      <c r="H70" s="37" t="e">
        <f t="shared" si="46"/>
        <v>#DIV/0!</v>
      </c>
      <c r="I70" s="37" t="e">
        <f t="shared" ref="I70:N70" si="47">+I68/I65</f>
        <v>#DIV/0!</v>
      </c>
      <c r="J70" s="37" t="e">
        <f t="shared" si="47"/>
        <v>#DIV/0!</v>
      </c>
      <c r="K70" s="37" t="e">
        <f t="shared" si="47"/>
        <v>#DIV/0!</v>
      </c>
      <c r="L70" s="37" t="e">
        <f t="shared" si="47"/>
        <v>#DIV/0!</v>
      </c>
      <c r="M70" s="37" t="e">
        <f t="shared" si="47"/>
        <v>#DIV/0!</v>
      </c>
      <c r="N70" s="37" t="e">
        <f t="shared" si="47"/>
        <v>#DIV/0!</v>
      </c>
      <c r="O70" s="6"/>
      <c r="P70" s="4">
        <f>+P68/P65</f>
        <v>0.61829566899869004</v>
      </c>
    </row>
    <row r="71" spans="1:16" s="24" customFormat="1" x14ac:dyDescent="0.25">
      <c r="A71" s="271" t="s">
        <v>242</v>
      </c>
      <c r="B71" s="65"/>
      <c r="C71" s="65"/>
      <c r="D71" s="65"/>
      <c r="E71" s="65"/>
      <c r="F71" s="65"/>
      <c r="G71" s="66"/>
      <c r="H71" s="66"/>
      <c r="I71" s="66"/>
      <c r="J71" s="66"/>
      <c r="K71" s="50"/>
      <c r="L71" s="50"/>
      <c r="M71" s="50"/>
      <c r="N71" s="50"/>
      <c r="O71" s="50"/>
      <c r="P71" s="50"/>
    </row>
    <row r="72" spans="1:16" x14ac:dyDescent="0.25">
      <c r="A72" s="3" t="s">
        <v>6</v>
      </c>
      <c r="B72" s="380">
        <f>VLOOKUP($A$71,TABLA_1[],5,FALSE)</f>
        <v>0</v>
      </c>
      <c r="C72" s="380">
        <f>VLOOKUP($A$71,TABLA_2[],5,FALSE)</f>
        <v>0</v>
      </c>
      <c r="D72" s="380">
        <f>VLOOKUP($A$71,TABLA_3[],5,FALSE)</f>
        <v>0</v>
      </c>
      <c r="E72" s="380">
        <f>VLOOKUP($A$71,TABLA_4[],5,FALSE)</f>
        <v>0</v>
      </c>
      <c r="F72" s="380">
        <f>VLOOKUP($A$71,TABLA_5[],5,FALSE)</f>
        <v>0</v>
      </c>
      <c r="G72" s="380">
        <f>VLOOKUP($A$71,TABLA_6[],5,FALSE)</f>
        <v>5288.0467930000004</v>
      </c>
      <c r="H72" s="380">
        <f>VLOOKUP($A$71,TABLA_7[],5,FALSE)</f>
        <v>0</v>
      </c>
      <c r="I72" s="380">
        <f>VLOOKUP($A$71,TABLA_8[],5,FALSE)</f>
        <v>0</v>
      </c>
      <c r="J72" s="380">
        <f>VLOOKUP($A$71,TABLA_9[],5,FALSE)</f>
        <v>0</v>
      </c>
      <c r="K72" s="380">
        <f>VLOOKUP($A$71,TABLA_10[],5,FALSE)</f>
        <v>0</v>
      </c>
      <c r="L72" s="380">
        <f>VLOOKUP($A$71,TABLA_11[],5,FALSE)</f>
        <v>0</v>
      </c>
      <c r="M72" s="380">
        <f>VLOOKUP($A$71,TABLA_12[],5,FALSE)</f>
        <v>0</v>
      </c>
      <c r="N72" s="380">
        <f>VLOOKUP($A$71,TABLA_13[],5,FALSE)</f>
        <v>0</v>
      </c>
      <c r="O72" s="6"/>
      <c r="P72" s="47">
        <f>MAX(B72:N72)</f>
        <v>5288.0467930000004</v>
      </c>
    </row>
    <row r="73" spans="1:16" x14ac:dyDescent="0.25">
      <c r="A73" s="3" t="s">
        <v>7</v>
      </c>
      <c r="B73" s="380">
        <f>VLOOKUP($A$71,TABLA_1[],8,FALSE)</f>
        <v>0</v>
      </c>
      <c r="C73" s="380">
        <f>VLOOKUP($A$71,TABLA_2[],8,FALSE)</f>
        <v>0</v>
      </c>
      <c r="D73" s="380">
        <f>VLOOKUP($A$71,TABLA_3[],8,FALSE)</f>
        <v>0</v>
      </c>
      <c r="E73" s="380">
        <f>VLOOKUP($A$71,TABLA_4[],8,FALSE)</f>
        <v>0</v>
      </c>
      <c r="F73" s="380">
        <f>VLOOKUP($A$71,TABLA_5[],8,FALSE)</f>
        <v>0</v>
      </c>
      <c r="G73" s="380">
        <f>VLOOKUP($A$71,TABLA_6[],8,FALSE)</f>
        <v>2328488.3160549998</v>
      </c>
      <c r="H73" s="380">
        <f>VLOOKUP($A$71,TABLA_7[],8,FALSE)</f>
        <v>0</v>
      </c>
      <c r="I73" s="380">
        <f>VLOOKUP($A$71,TABLA_8[],8,FALSE)</f>
        <v>0</v>
      </c>
      <c r="J73" s="380">
        <f>VLOOKUP($A$71,TABLA_9[],8,FALSE)</f>
        <v>0</v>
      </c>
      <c r="K73" s="380">
        <f>VLOOKUP($A$71,TABLA_10[],8,FALSE)</f>
        <v>0</v>
      </c>
      <c r="L73" s="380">
        <f>VLOOKUP($A$71,TABLA_11[],8,FALSE)</f>
        <v>0</v>
      </c>
      <c r="M73" s="380">
        <f>VLOOKUP($A$71,TABLA_12[],8,FALSE)</f>
        <v>0</v>
      </c>
      <c r="N73" s="380">
        <f>VLOOKUP($A$71,TABLA_13[],8,FALSE)</f>
        <v>0</v>
      </c>
      <c r="O73" s="47">
        <f>SUM(B73:N73)</f>
        <v>2328488.3160549998</v>
      </c>
      <c r="P73" s="43">
        <f>SUM(B73:N73)/(COUNTIF(B73:N73,"&gt;0"))</f>
        <v>2328488.3160549998</v>
      </c>
    </row>
    <row r="74" spans="1:16" x14ac:dyDescent="0.25">
      <c r="A74" s="3" t="s">
        <v>16</v>
      </c>
      <c r="B74" s="37" t="e">
        <f t="shared" ref="B74:H74" si="48">+((B72/B76)^2-(B72^2))^(0.5)</f>
        <v>#DIV/0!</v>
      </c>
      <c r="C74" s="37" t="e">
        <f>+((C72/C76)^2-(C72^2))^(0.5)</f>
        <v>#DIV/0!</v>
      </c>
      <c r="D74" s="37" t="e">
        <f t="shared" si="48"/>
        <v>#DIV/0!</v>
      </c>
      <c r="E74" s="37" t="e">
        <f t="shared" si="48"/>
        <v>#DIV/0!</v>
      </c>
      <c r="F74" s="37" t="e">
        <f t="shared" si="48"/>
        <v>#DIV/0!</v>
      </c>
      <c r="G74" s="37">
        <f t="shared" si="48"/>
        <v>925.20162473918242</v>
      </c>
      <c r="H74" s="37" t="e">
        <f t="shared" si="48"/>
        <v>#DIV/0!</v>
      </c>
      <c r="I74" s="37" t="e">
        <f t="shared" ref="I74:N74" si="49">+((I72/I76)^2-(I72^2))^(0.5)</f>
        <v>#DIV/0!</v>
      </c>
      <c r="J74" s="37" t="e">
        <f t="shared" si="49"/>
        <v>#DIV/0!</v>
      </c>
      <c r="K74" s="37" t="e">
        <f t="shared" si="49"/>
        <v>#DIV/0!</v>
      </c>
      <c r="L74" s="37" t="e">
        <f t="shared" si="49"/>
        <v>#DIV/0!</v>
      </c>
      <c r="M74" s="37" t="e">
        <f t="shared" si="49"/>
        <v>#DIV/0!</v>
      </c>
      <c r="N74" s="37" t="e">
        <f t="shared" si="49"/>
        <v>#DIV/0!</v>
      </c>
      <c r="O74" s="37"/>
      <c r="P74" s="4">
        <f>HLOOKUP(P72,B72:N74,3,FALSE)</f>
        <v>925.20162473918242</v>
      </c>
    </row>
    <row r="75" spans="1:16" x14ac:dyDescent="0.25">
      <c r="A75" s="3" t="s">
        <v>8</v>
      </c>
      <c r="B75" s="37">
        <f t="shared" ref="B75:H75" si="50">+B73/(24*B$8)</f>
        <v>0</v>
      </c>
      <c r="C75" s="37">
        <f>+C73/(24*C$8)</f>
        <v>0</v>
      </c>
      <c r="D75" s="37">
        <f t="shared" si="50"/>
        <v>0</v>
      </c>
      <c r="E75" s="37">
        <f t="shared" si="50"/>
        <v>0</v>
      </c>
      <c r="F75" s="37">
        <f t="shared" si="50"/>
        <v>0</v>
      </c>
      <c r="G75" s="37">
        <f t="shared" si="50"/>
        <v>3129.6885968481179</v>
      </c>
      <c r="H75" s="37">
        <f t="shared" si="50"/>
        <v>0</v>
      </c>
      <c r="I75" s="37">
        <f t="shared" ref="I75:N75" si="51">+I73/(24*I$8)</f>
        <v>0</v>
      </c>
      <c r="J75" s="37">
        <f t="shared" si="51"/>
        <v>0</v>
      </c>
      <c r="K75" s="37">
        <f t="shared" si="51"/>
        <v>0</v>
      </c>
      <c r="L75" s="37">
        <f t="shared" si="51"/>
        <v>0</v>
      </c>
      <c r="M75" s="37">
        <f t="shared" si="51"/>
        <v>0</v>
      </c>
      <c r="N75" s="37">
        <f t="shared" si="51"/>
        <v>0</v>
      </c>
      <c r="O75" s="6">
        <f>SUM(O73)/(24*O$8)</f>
        <v>265.80916849942918</v>
      </c>
      <c r="P75" s="4">
        <f>O73/(COUNTIF(B73:N73,"&gt;0")*720)</f>
        <v>3234.0115500763886</v>
      </c>
    </row>
    <row r="76" spans="1:16" x14ac:dyDescent="0.25">
      <c r="A76" s="3" t="s">
        <v>9</v>
      </c>
      <c r="B76" s="380">
        <f>VLOOKUP($A$71,TABLA_1[],10,FALSE)</f>
        <v>0</v>
      </c>
      <c r="C76" s="380">
        <f>VLOOKUP($A$71,TABLA_2[],10,FALSE)</f>
        <v>0</v>
      </c>
      <c r="D76" s="380">
        <f>VLOOKUP($A$71,TABLA_3[],10,FALSE)</f>
        <v>0</v>
      </c>
      <c r="E76" s="380">
        <f>VLOOKUP($A$71,TABLA_4[],10,FALSE)</f>
        <v>0</v>
      </c>
      <c r="F76" s="380">
        <f>VLOOKUP($A$71,TABLA_5[],10,FALSE)</f>
        <v>0</v>
      </c>
      <c r="G76" s="380">
        <f>VLOOKUP($A$71,TABLA_6[],10,FALSE)</f>
        <v>0.98503700000000005</v>
      </c>
      <c r="H76" s="380">
        <f>VLOOKUP($A$71,TABLA_7[],10,FALSE)</f>
        <v>0</v>
      </c>
      <c r="I76" s="380">
        <f>VLOOKUP($A$71,TABLA_8[],10,FALSE)</f>
        <v>0</v>
      </c>
      <c r="J76" s="380">
        <f>VLOOKUP($A$71,TABLA_9[],10,FALSE)</f>
        <v>0</v>
      </c>
      <c r="K76" s="380">
        <f>VLOOKUP($A$71,TABLA_10[],10,FALSE)</f>
        <v>0</v>
      </c>
      <c r="L76" s="380">
        <f>VLOOKUP($A$71,TABLA_11[],10,FALSE)</f>
        <v>0</v>
      </c>
      <c r="M76" s="380">
        <f>VLOOKUP($A$71,TABLA_12[],10,FALSE)</f>
        <v>0</v>
      </c>
      <c r="N76" s="380">
        <f>VLOOKUP($A$71,TABLA_13[],10,FALSE)</f>
        <v>0</v>
      </c>
      <c r="O76" s="6"/>
      <c r="P76" s="4">
        <f>COS(ATAN(P74/P72))</f>
        <v>0.98503700000000016</v>
      </c>
    </row>
    <row r="77" spans="1:16" x14ac:dyDescent="0.25">
      <c r="A77" s="3" t="s">
        <v>17</v>
      </c>
      <c r="B77" s="37" t="e">
        <f t="shared" ref="B77:H77" si="52">+B75/B72</f>
        <v>#DIV/0!</v>
      </c>
      <c r="C77" s="37" t="e">
        <f>+C75/C72</f>
        <v>#DIV/0!</v>
      </c>
      <c r="D77" s="37" t="e">
        <f t="shared" si="52"/>
        <v>#DIV/0!</v>
      </c>
      <c r="E77" s="37" t="e">
        <f t="shared" si="52"/>
        <v>#DIV/0!</v>
      </c>
      <c r="F77" s="37" t="e">
        <f t="shared" si="52"/>
        <v>#DIV/0!</v>
      </c>
      <c r="G77" s="37">
        <f t="shared" si="52"/>
        <v>0.5918420769254561</v>
      </c>
      <c r="H77" s="37" t="e">
        <f t="shared" si="52"/>
        <v>#DIV/0!</v>
      </c>
      <c r="I77" s="37" t="e">
        <f t="shared" ref="I77:N77" si="53">+I75/I72</f>
        <v>#DIV/0!</v>
      </c>
      <c r="J77" s="37" t="e">
        <f t="shared" si="53"/>
        <v>#DIV/0!</v>
      </c>
      <c r="K77" s="37" t="e">
        <f t="shared" si="53"/>
        <v>#DIV/0!</v>
      </c>
      <c r="L77" s="37" t="e">
        <f t="shared" si="53"/>
        <v>#DIV/0!</v>
      </c>
      <c r="M77" s="37" t="e">
        <f t="shared" si="53"/>
        <v>#DIV/0!</v>
      </c>
      <c r="N77" s="37" t="e">
        <f t="shared" si="53"/>
        <v>#DIV/0!</v>
      </c>
      <c r="O77" s="6"/>
      <c r="P77" s="4">
        <f>+P75/P72</f>
        <v>0.61157014615630467</v>
      </c>
    </row>
    <row r="78" spans="1:16" x14ac:dyDescent="0.25">
      <c r="A78" s="86"/>
      <c r="B78" s="77"/>
      <c r="C78" s="77"/>
      <c r="D78" s="77"/>
      <c r="E78" s="77"/>
      <c r="F78" s="77"/>
      <c r="G78" s="77"/>
      <c r="H78" s="77"/>
      <c r="I78" s="77"/>
      <c r="J78" s="77"/>
      <c r="K78" s="77"/>
      <c r="L78" s="77"/>
      <c r="M78" s="77"/>
      <c r="N78" s="77"/>
      <c r="O78" s="329"/>
      <c r="P78" s="83"/>
    </row>
    <row r="79" spans="1:16" x14ac:dyDescent="0.25">
      <c r="A79" s="48"/>
      <c r="B79" s="91"/>
      <c r="C79" s="91"/>
      <c r="D79" s="91"/>
      <c r="E79" s="91"/>
      <c r="F79" s="91"/>
      <c r="G79" s="91"/>
      <c r="H79" s="91"/>
      <c r="I79" s="91"/>
      <c r="J79" s="91"/>
      <c r="K79" s="64"/>
      <c r="L79" s="64"/>
      <c r="M79" s="64"/>
      <c r="N79" s="64"/>
      <c r="O79" s="64"/>
      <c r="P79" s="48"/>
    </row>
    <row r="80" spans="1:16" x14ac:dyDescent="0.25">
      <c r="A80" s="7" t="s">
        <v>10</v>
      </c>
      <c r="B80" s="72"/>
      <c r="C80" s="72"/>
      <c r="D80" s="72"/>
      <c r="E80" s="72"/>
      <c r="F80" s="72"/>
      <c r="G80" s="73"/>
      <c r="H80" s="73"/>
      <c r="I80" s="73"/>
      <c r="J80" s="73"/>
      <c r="K80" s="73"/>
      <c r="L80" s="53"/>
      <c r="M80" s="53"/>
      <c r="N80" s="53"/>
      <c r="O80" s="53"/>
      <c r="P80" s="8"/>
    </row>
    <row r="81" spans="1:18" x14ac:dyDescent="0.25">
      <c r="A81" s="9" t="s">
        <v>11</v>
      </c>
      <c r="B81" s="62">
        <f t="shared" ref="B81:N81" si="54">+B58+B65+B72</f>
        <v>0</v>
      </c>
      <c r="C81" s="62">
        <f>+C58+C65+C72</f>
        <v>0</v>
      </c>
      <c r="D81" s="62">
        <f t="shared" si="54"/>
        <v>0</v>
      </c>
      <c r="E81" s="62">
        <f t="shared" si="54"/>
        <v>0</v>
      </c>
      <c r="F81" s="62">
        <f t="shared" si="54"/>
        <v>0</v>
      </c>
      <c r="G81" s="62">
        <f t="shared" si="54"/>
        <v>14715.785073000003</v>
      </c>
      <c r="H81" s="62">
        <f t="shared" si="54"/>
        <v>0</v>
      </c>
      <c r="I81" s="62">
        <f t="shared" si="54"/>
        <v>0</v>
      </c>
      <c r="J81" s="62">
        <f t="shared" si="54"/>
        <v>0</v>
      </c>
      <c r="K81" s="62">
        <f t="shared" si="54"/>
        <v>0</v>
      </c>
      <c r="L81" s="62">
        <f t="shared" si="54"/>
        <v>0</v>
      </c>
      <c r="M81" s="62">
        <f t="shared" si="54"/>
        <v>0</v>
      </c>
      <c r="N81" s="62">
        <f t="shared" si="54"/>
        <v>0</v>
      </c>
      <c r="O81" s="62"/>
      <c r="P81" s="42">
        <f>MAX(B81:N81)</f>
        <v>14715.785073000003</v>
      </c>
    </row>
    <row r="82" spans="1:18" x14ac:dyDescent="0.25">
      <c r="A82" s="9" t="s">
        <v>7</v>
      </c>
      <c r="B82" s="62">
        <f t="shared" ref="B82:N82" si="55">+B59+B66+B73</f>
        <v>0</v>
      </c>
      <c r="C82" s="62">
        <f>+C59+C66+C73</f>
        <v>0</v>
      </c>
      <c r="D82" s="62">
        <f t="shared" si="55"/>
        <v>0</v>
      </c>
      <c r="E82" s="62">
        <f t="shared" si="55"/>
        <v>0</v>
      </c>
      <c r="F82" s="62">
        <f t="shared" si="55"/>
        <v>0</v>
      </c>
      <c r="G82" s="62">
        <f t="shared" si="55"/>
        <v>6274962.0645469995</v>
      </c>
      <c r="H82" s="62">
        <f t="shared" si="55"/>
        <v>0</v>
      </c>
      <c r="I82" s="62">
        <f t="shared" si="55"/>
        <v>0</v>
      </c>
      <c r="J82" s="62">
        <f t="shared" si="55"/>
        <v>0</v>
      </c>
      <c r="K82" s="62">
        <f t="shared" si="55"/>
        <v>0</v>
      </c>
      <c r="L82" s="62">
        <f t="shared" si="55"/>
        <v>0</v>
      </c>
      <c r="M82" s="62">
        <f t="shared" si="55"/>
        <v>0</v>
      </c>
      <c r="N82" s="62">
        <f t="shared" si="55"/>
        <v>0</v>
      </c>
      <c r="O82" s="62">
        <f>SUM(B82:N82)</f>
        <v>6274962.0645469995</v>
      </c>
      <c r="P82" s="42"/>
    </row>
    <row r="83" spans="1:18" s="24" customFormat="1" x14ac:dyDescent="0.25">
      <c r="A83" s="272" t="s">
        <v>13</v>
      </c>
      <c r="B83" s="376" t="s">
        <v>484</v>
      </c>
      <c r="C83" s="246"/>
      <c r="D83" s="246"/>
      <c r="E83" s="246"/>
      <c r="F83" s="246"/>
      <c r="G83" s="247"/>
      <c r="H83" s="247"/>
      <c r="I83" s="247"/>
      <c r="J83" s="247"/>
      <c r="K83" s="36"/>
      <c r="L83" s="36"/>
      <c r="M83" s="36"/>
      <c r="N83" s="36"/>
      <c r="O83" s="36"/>
      <c r="P83" s="36"/>
    </row>
    <row r="84" spans="1:18" x14ac:dyDescent="0.25">
      <c r="A84" s="3" t="s">
        <v>6</v>
      </c>
      <c r="B84" s="380">
        <f>VLOOKUP($B$83,BancoTabla_1[],5,FALSE)</f>
        <v>0</v>
      </c>
      <c r="C84" s="380">
        <f>VLOOKUP($B$83,BancoTabla_2[],5,FALSE)</f>
        <v>0</v>
      </c>
      <c r="D84" s="380">
        <f>VLOOKUP($B$83,BancoTabla_3[],5,FALSE)</f>
        <v>0</v>
      </c>
      <c r="E84" s="380">
        <f>VLOOKUP($B$83,BancoTabla_4[],5,FALSE)</f>
        <v>0</v>
      </c>
      <c r="F84" s="380">
        <f>VLOOKUP($B$83,BancoTabla_5[],5,FALSE)</f>
        <v>0</v>
      </c>
      <c r="G84" s="380">
        <f>VLOOKUP($B$83,BancoTabla_6[],5,FALSE)</f>
        <v>14566.583495999999</v>
      </c>
      <c r="H84" s="380">
        <f>VLOOKUP($B$83,BancoTabla_7[],5,FALSE)</f>
        <v>0</v>
      </c>
      <c r="I84" s="380">
        <f>VLOOKUP($B$83,BancoTabla_8[],5,FALSE)</f>
        <v>0</v>
      </c>
      <c r="J84" s="380">
        <f>VLOOKUP($B$83,BancoTabla_9[],5,FALSE)</f>
        <v>0</v>
      </c>
      <c r="K84" s="380">
        <f>VLOOKUP($B$83,BancoTabla_10[],5,FALSE)</f>
        <v>0</v>
      </c>
      <c r="L84" s="380">
        <f>VLOOKUP($B$83,BancoTabla_11[],5,FALSE)</f>
        <v>0</v>
      </c>
      <c r="M84" s="380">
        <f>VLOOKUP($B$83,BancoTabla_12[],5,FALSE)</f>
        <v>0</v>
      </c>
      <c r="N84" s="380">
        <f>VLOOKUP($B$83,BancoTabla_13[],5,FALSE)</f>
        <v>0</v>
      </c>
      <c r="O84" s="79"/>
      <c r="P84" s="43">
        <f>MAX(B84:N84)</f>
        <v>14566.583495999999</v>
      </c>
      <c r="Q84" s="334">
        <f>P84/1000</f>
        <v>14.566583496</v>
      </c>
    </row>
    <row r="85" spans="1:18" x14ac:dyDescent="0.25">
      <c r="A85" s="3" t="s">
        <v>7</v>
      </c>
      <c r="B85" s="380">
        <f>VLOOKUP($B$83,BancoTabla_1[],8,FALSE)</f>
        <v>0</v>
      </c>
      <c r="C85" s="380">
        <f>VLOOKUP($B$83,BancoTabla_2[],8,FALSE)</f>
        <v>0</v>
      </c>
      <c r="D85" s="380">
        <f>VLOOKUP($B$83,BancoTabla_3[],8,FALSE)</f>
        <v>0</v>
      </c>
      <c r="E85" s="380">
        <f>VLOOKUP($B$83,BancoTabla_4[],8,FALSE)</f>
        <v>0</v>
      </c>
      <c r="F85" s="380">
        <f>VLOOKUP($B$83,BancoTabla_5[],8,FALSE)</f>
        <v>0</v>
      </c>
      <c r="G85" s="380">
        <f>VLOOKUP($B$83,BancoTabla_6[],8,FALSE)</f>
        <v>6349798.554951</v>
      </c>
      <c r="H85" s="380">
        <f>VLOOKUP($B$83,BancoTabla_7[],8,FALSE)</f>
        <v>0</v>
      </c>
      <c r="I85" s="380">
        <f>VLOOKUP($B$83,BancoTabla_8[],8,FALSE)</f>
        <v>0</v>
      </c>
      <c r="J85" s="380">
        <f>VLOOKUP($B$83,BancoTabla_9[],8,FALSE)</f>
        <v>0</v>
      </c>
      <c r="K85" s="380">
        <f>VLOOKUP($B$83,BancoTabla_10[],8,FALSE)</f>
        <v>0</v>
      </c>
      <c r="L85" s="380">
        <f>VLOOKUP($B$83,BancoTabla_11[],8,FALSE)</f>
        <v>0</v>
      </c>
      <c r="M85" s="380">
        <f>VLOOKUP($B$83,BancoTabla_12[],8,FALSE)</f>
        <v>0</v>
      </c>
      <c r="N85" s="380">
        <f>VLOOKUP($B$83,BancoTabla_13[],8,FALSE)</f>
        <v>0</v>
      </c>
      <c r="O85" s="47">
        <f>SUM(B85:N85)</f>
        <v>6349798.554951</v>
      </c>
      <c r="P85" s="4">
        <f>SUM(B85:N85)/(COUNTIF(B85:N85,"&gt;0"))</f>
        <v>6349798.554951</v>
      </c>
      <c r="R85" s="39"/>
    </row>
    <row r="86" spans="1:18" x14ac:dyDescent="0.25">
      <c r="A86" s="3" t="s">
        <v>16</v>
      </c>
      <c r="B86" s="37" t="e">
        <f t="shared" ref="B86:H86" si="56">+((B84/B88)^2-(B84^2))^(0.5)</f>
        <v>#DIV/0!</v>
      </c>
      <c r="C86" s="37" t="e">
        <f>+((C84/C88)^2-(C84^2))^(0.5)</f>
        <v>#DIV/0!</v>
      </c>
      <c r="D86" s="37" t="e">
        <f t="shared" si="56"/>
        <v>#DIV/0!</v>
      </c>
      <c r="E86" s="37" t="e">
        <f t="shared" si="56"/>
        <v>#DIV/0!</v>
      </c>
      <c r="F86" s="37" t="e">
        <f t="shared" si="56"/>
        <v>#DIV/0!</v>
      </c>
      <c r="G86" s="37">
        <f t="shared" si="56"/>
        <v>940.53105873762888</v>
      </c>
      <c r="H86" s="37" t="e">
        <f t="shared" si="56"/>
        <v>#DIV/0!</v>
      </c>
      <c r="I86" s="37" t="e">
        <f t="shared" ref="I86:N86" si="57">+((I84/I88)^2-(I84^2))^(0.5)</f>
        <v>#DIV/0!</v>
      </c>
      <c r="J86" s="37" t="e">
        <f t="shared" si="57"/>
        <v>#DIV/0!</v>
      </c>
      <c r="K86" s="37" t="e">
        <f t="shared" si="57"/>
        <v>#DIV/0!</v>
      </c>
      <c r="L86" s="37" t="e">
        <f t="shared" si="57"/>
        <v>#DIV/0!</v>
      </c>
      <c r="M86" s="37" t="e">
        <f t="shared" si="57"/>
        <v>#DIV/0!</v>
      </c>
      <c r="N86" s="37" t="e">
        <f t="shared" si="57"/>
        <v>#DIV/0!</v>
      </c>
      <c r="O86" s="37"/>
      <c r="P86" s="4">
        <f>HLOOKUP(P84,B84:N86,3,FALSE)</f>
        <v>940.53105873762888</v>
      </c>
    </row>
    <row r="87" spans="1:18" x14ac:dyDescent="0.25">
      <c r="A87" s="3" t="s">
        <v>8</v>
      </c>
      <c r="B87" s="37">
        <f t="shared" ref="B87:H87" si="58">+B85/(24*B$8)</f>
        <v>0</v>
      </c>
      <c r="C87" s="37">
        <f>+C85/(24*C$8)</f>
        <v>0</v>
      </c>
      <c r="D87" s="37">
        <f t="shared" si="58"/>
        <v>0</v>
      </c>
      <c r="E87" s="37">
        <f t="shared" si="58"/>
        <v>0</v>
      </c>
      <c r="F87" s="37">
        <f t="shared" si="58"/>
        <v>0</v>
      </c>
      <c r="G87" s="37">
        <f t="shared" si="58"/>
        <v>8534.6754770846783</v>
      </c>
      <c r="H87" s="37">
        <f t="shared" si="58"/>
        <v>0</v>
      </c>
      <c r="I87" s="37">
        <f t="shared" ref="I87:N87" si="59">+I85/(24*I$8)</f>
        <v>0</v>
      </c>
      <c r="J87" s="37">
        <f t="shared" si="59"/>
        <v>0</v>
      </c>
      <c r="K87" s="37">
        <f t="shared" si="59"/>
        <v>0</v>
      </c>
      <c r="L87" s="37">
        <f t="shared" si="59"/>
        <v>0</v>
      </c>
      <c r="M87" s="37">
        <f t="shared" si="59"/>
        <v>0</v>
      </c>
      <c r="N87" s="37">
        <f t="shared" si="59"/>
        <v>0</v>
      </c>
      <c r="O87" s="6">
        <f>SUM(O85)/(24*O$8)</f>
        <v>724.86284873869863</v>
      </c>
      <c r="P87" s="4">
        <f>O85/(COUNTIF(B85:N85,"&gt;0")*720)</f>
        <v>8819.1646596541668</v>
      </c>
    </row>
    <row r="88" spans="1:18" x14ac:dyDescent="0.25">
      <c r="A88" s="3" t="s">
        <v>9</v>
      </c>
      <c r="B88" s="380">
        <f>VLOOKUP($B$83,BancoTabla_1[],10,FALSE)</f>
        <v>0</v>
      </c>
      <c r="C88" s="380">
        <f>VLOOKUP($B$83,BancoTabla_2[],10,FALSE)</f>
        <v>0</v>
      </c>
      <c r="D88" s="380">
        <f>VLOOKUP($B$83,BancoTabla_3[],10,FALSE)</f>
        <v>0</v>
      </c>
      <c r="E88" s="380">
        <f>VLOOKUP($B$83,BancoTabla_4[],10,FALSE)</f>
        <v>0</v>
      </c>
      <c r="F88" s="380">
        <f>VLOOKUP($B$83,BancoTabla_5[],10,FALSE)</f>
        <v>0</v>
      </c>
      <c r="G88" s="380">
        <f>VLOOKUP($B$83,BancoTabla_6[],10,FALSE)</f>
        <v>0.99792199999999998</v>
      </c>
      <c r="H88" s="380">
        <f>VLOOKUP($B$83,BancoTabla_7[],10,FALSE)</f>
        <v>0</v>
      </c>
      <c r="I88" s="380">
        <f>VLOOKUP($B$83,BancoTabla_8[],10,FALSE)</f>
        <v>0</v>
      </c>
      <c r="J88" s="380">
        <f>VLOOKUP($B$83,BancoTabla_9[],10,FALSE)</f>
        <v>0</v>
      </c>
      <c r="K88" s="380">
        <f>VLOOKUP($B$83,BancoTabla_10[],10,FALSE)</f>
        <v>0</v>
      </c>
      <c r="L88" s="380">
        <f>VLOOKUP($B$83,BancoTabla_11[],10,FALSE)</f>
        <v>0</v>
      </c>
      <c r="M88" s="380">
        <f>VLOOKUP($B$83,BancoTabla_12[],10,FALSE)</f>
        <v>0</v>
      </c>
      <c r="N88" s="380">
        <f>VLOOKUP($B$83,BancoTabla_13[],10,FALSE)</f>
        <v>0</v>
      </c>
      <c r="O88" s="6"/>
      <c r="P88" s="4">
        <f>COS(ATAN(P86/P84))</f>
        <v>0.99792199999999986</v>
      </c>
    </row>
    <row r="89" spans="1:18" x14ac:dyDescent="0.25">
      <c r="A89" s="3" t="s">
        <v>17</v>
      </c>
      <c r="B89" s="37" t="e">
        <f t="shared" ref="B89:H89" si="60">+B87/B84</f>
        <v>#DIV/0!</v>
      </c>
      <c r="C89" s="37" t="e">
        <f>+C87/C84</f>
        <v>#DIV/0!</v>
      </c>
      <c r="D89" s="37" t="e">
        <f t="shared" si="60"/>
        <v>#DIV/0!</v>
      </c>
      <c r="E89" s="37" t="e">
        <f t="shared" si="60"/>
        <v>#DIV/0!</v>
      </c>
      <c r="F89" s="37" t="e">
        <f t="shared" si="60"/>
        <v>#DIV/0!</v>
      </c>
      <c r="G89" s="37">
        <f t="shared" si="60"/>
        <v>0.58590784032702725</v>
      </c>
      <c r="H89" s="37" t="e">
        <f t="shared" si="60"/>
        <v>#DIV/0!</v>
      </c>
      <c r="I89" s="37" t="e">
        <f t="shared" ref="I89:N89" si="61">+I87/I84</f>
        <v>#DIV/0!</v>
      </c>
      <c r="J89" s="37" t="e">
        <f t="shared" si="61"/>
        <v>#DIV/0!</v>
      </c>
      <c r="K89" s="37" t="e">
        <f t="shared" si="61"/>
        <v>#DIV/0!</v>
      </c>
      <c r="L89" s="37" t="e">
        <f t="shared" si="61"/>
        <v>#DIV/0!</v>
      </c>
      <c r="M89" s="37" t="e">
        <f t="shared" si="61"/>
        <v>#DIV/0!</v>
      </c>
      <c r="N89" s="37" t="e">
        <f t="shared" si="61"/>
        <v>#DIV/0!</v>
      </c>
      <c r="O89" s="6"/>
      <c r="P89" s="4">
        <f>+P87/P84</f>
        <v>0.60543810167126144</v>
      </c>
    </row>
    <row r="90" spans="1:18" x14ac:dyDescent="0.25">
      <c r="A90" s="3" t="s">
        <v>18</v>
      </c>
      <c r="B90" s="37" t="e">
        <f t="shared" ref="B90:H90" si="62">+B81/B84</f>
        <v>#DIV/0!</v>
      </c>
      <c r="C90" s="37" t="e">
        <f>+C81/C84</f>
        <v>#DIV/0!</v>
      </c>
      <c r="D90" s="37" t="e">
        <f t="shared" si="62"/>
        <v>#DIV/0!</v>
      </c>
      <c r="E90" s="37" t="e">
        <f t="shared" si="62"/>
        <v>#DIV/0!</v>
      </c>
      <c r="F90" s="362" t="e">
        <f t="shared" si="62"/>
        <v>#DIV/0!</v>
      </c>
      <c r="G90" s="36">
        <f t="shared" si="62"/>
        <v>1.0102427296724021</v>
      </c>
      <c r="H90" s="37" t="e">
        <f t="shared" si="62"/>
        <v>#DIV/0!</v>
      </c>
      <c r="I90" s="37" t="e">
        <f t="shared" ref="I90:N90" si="63">+I81/I84</f>
        <v>#DIV/0!</v>
      </c>
      <c r="J90" s="37" t="e">
        <f t="shared" si="63"/>
        <v>#DIV/0!</v>
      </c>
      <c r="K90" s="37" t="e">
        <f t="shared" si="63"/>
        <v>#DIV/0!</v>
      </c>
      <c r="L90" s="37" t="e">
        <f t="shared" si="63"/>
        <v>#DIV/0!</v>
      </c>
      <c r="M90" s="37" t="e">
        <f t="shared" si="63"/>
        <v>#DIV/0!</v>
      </c>
      <c r="N90" s="37" t="e">
        <f t="shared" si="63"/>
        <v>#DIV/0!</v>
      </c>
      <c r="O90" s="6"/>
      <c r="P90" s="4">
        <f>+P81/P84</f>
        <v>1.0102427296724021</v>
      </c>
    </row>
    <row r="91" spans="1:18" x14ac:dyDescent="0.25">
      <c r="A91" s="3" t="s">
        <v>19</v>
      </c>
      <c r="B91" s="37">
        <f t="shared" ref="B91:H91" si="64">+B84/$B$54</f>
        <v>0</v>
      </c>
      <c r="C91" s="37">
        <f>+C84/$B$54</f>
        <v>0</v>
      </c>
      <c r="D91" s="37">
        <f t="shared" si="64"/>
        <v>0</v>
      </c>
      <c r="E91" s="37">
        <f t="shared" si="64"/>
        <v>0</v>
      </c>
      <c r="F91" s="37">
        <f t="shared" si="64"/>
        <v>0</v>
      </c>
      <c r="G91" s="37">
        <f t="shared" si="64"/>
        <v>0.73046651983704314</v>
      </c>
      <c r="H91" s="37">
        <f t="shared" si="64"/>
        <v>0</v>
      </c>
      <c r="I91" s="37">
        <f t="shared" ref="I91:N91" si="65">+I84/$B$92</f>
        <v>0</v>
      </c>
      <c r="J91" s="37">
        <f t="shared" si="65"/>
        <v>0</v>
      </c>
      <c r="K91" s="37">
        <f t="shared" si="65"/>
        <v>0</v>
      </c>
      <c r="L91" s="37">
        <f t="shared" si="65"/>
        <v>0</v>
      </c>
      <c r="M91" s="37">
        <f t="shared" si="65"/>
        <v>0</v>
      </c>
      <c r="N91" s="37">
        <f t="shared" si="65"/>
        <v>0</v>
      </c>
      <c r="O91" s="6"/>
      <c r="P91" s="4">
        <f>+P84/$B$92</f>
        <v>0.72984579436068164</v>
      </c>
    </row>
    <row r="92" spans="1:18" x14ac:dyDescent="0.25">
      <c r="A92" s="3" t="s">
        <v>20</v>
      </c>
      <c r="B92" s="37">
        <f>20*P88*1000</f>
        <v>19958.439999999995</v>
      </c>
      <c r="C92" s="37"/>
      <c r="D92" s="37"/>
      <c r="E92" s="37"/>
      <c r="F92" s="37"/>
      <c r="G92" s="36"/>
      <c r="H92" s="36"/>
      <c r="I92" s="36"/>
      <c r="J92" s="36"/>
      <c r="K92" s="37"/>
      <c r="L92" s="37"/>
      <c r="M92" s="37"/>
      <c r="N92" s="37"/>
      <c r="O92" s="37"/>
      <c r="P92" s="4"/>
    </row>
    <row r="93" spans="1:18" x14ac:dyDescent="0.25">
      <c r="A93" s="32"/>
      <c r="B93" s="237">
        <f>B84/$B$54</f>
        <v>0</v>
      </c>
      <c r="C93" s="237">
        <f>C84/$B$54</f>
        <v>0</v>
      </c>
      <c r="D93" s="237">
        <f t="shared" ref="D93:N93" si="66">D84/$B$54</f>
        <v>0</v>
      </c>
      <c r="E93" s="237">
        <f t="shared" si="66"/>
        <v>0</v>
      </c>
      <c r="F93" s="237">
        <f t="shared" si="66"/>
        <v>0</v>
      </c>
      <c r="G93" s="237">
        <f t="shared" si="66"/>
        <v>0.73046651983704314</v>
      </c>
      <c r="H93" s="237">
        <f t="shared" si="66"/>
        <v>0</v>
      </c>
      <c r="I93" s="237">
        <f t="shared" si="66"/>
        <v>0</v>
      </c>
      <c r="J93" s="237">
        <f t="shared" si="66"/>
        <v>0</v>
      </c>
      <c r="K93" s="237">
        <f t="shared" si="66"/>
        <v>0</v>
      </c>
      <c r="L93" s="237">
        <f t="shared" si="66"/>
        <v>0</v>
      </c>
      <c r="M93" s="237">
        <f t="shared" si="66"/>
        <v>0</v>
      </c>
      <c r="N93" s="237">
        <f t="shared" si="66"/>
        <v>0</v>
      </c>
      <c r="O93" s="35"/>
      <c r="P93" s="33"/>
    </row>
    <row r="94" spans="1:18" x14ac:dyDescent="0.25">
      <c r="B94" s="40"/>
      <c r="C94" s="40"/>
      <c r="D94" s="40"/>
      <c r="E94" s="40"/>
      <c r="F94" s="40"/>
      <c r="G94" s="24"/>
      <c r="H94" s="24"/>
      <c r="I94" s="24"/>
      <c r="J94" s="24"/>
      <c r="K94" s="24"/>
      <c r="L94" s="24"/>
      <c r="M94" s="24"/>
      <c r="N94" s="24"/>
      <c r="O94" s="24"/>
    </row>
    <row r="95" spans="1:18" x14ac:dyDescent="0.25">
      <c r="A95" s="15" t="s">
        <v>14</v>
      </c>
      <c r="B95" s="68"/>
      <c r="C95" s="68"/>
      <c r="D95" s="68"/>
      <c r="E95" s="68"/>
      <c r="F95" s="68"/>
      <c r="G95" s="69"/>
      <c r="H95" s="69"/>
      <c r="I95" s="69"/>
      <c r="J95" s="69"/>
      <c r="K95" s="57"/>
      <c r="L95" s="57"/>
      <c r="M95" s="57"/>
      <c r="N95" s="57"/>
      <c r="O95" s="57"/>
      <c r="P95" s="16"/>
    </row>
    <row r="96" spans="1:18" x14ac:dyDescent="0.25">
      <c r="A96" s="16" t="s">
        <v>11</v>
      </c>
      <c r="B96" s="63">
        <f t="shared" ref="B96:N96" si="67">+B46+B84</f>
        <v>0</v>
      </c>
      <c r="C96" s="63">
        <f>+C46+C84</f>
        <v>0</v>
      </c>
      <c r="D96" s="63">
        <f t="shared" si="67"/>
        <v>0</v>
      </c>
      <c r="E96" s="63">
        <f t="shared" si="67"/>
        <v>0</v>
      </c>
      <c r="F96" s="63">
        <f t="shared" si="67"/>
        <v>0</v>
      </c>
      <c r="G96" s="63">
        <f t="shared" si="67"/>
        <v>31913.700356999998</v>
      </c>
      <c r="H96" s="63">
        <f t="shared" si="67"/>
        <v>0</v>
      </c>
      <c r="I96" s="63">
        <f t="shared" si="67"/>
        <v>0</v>
      </c>
      <c r="J96" s="63">
        <f t="shared" si="67"/>
        <v>0</v>
      </c>
      <c r="K96" s="63">
        <f t="shared" si="67"/>
        <v>0</v>
      </c>
      <c r="L96" s="63">
        <f t="shared" si="67"/>
        <v>0</v>
      </c>
      <c r="M96" s="63">
        <f t="shared" si="67"/>
        <v>0</v>
      </c>
      <c r="N96" s="63">
        <f t="shared" si="67"/>
        <v>0</v>
      </c>
      <c r="O96" s="63"/>
      <c r="P96" s="45">
        <f>MAX(B96:N96)</f>
        <v>31913.700356999998</v>
      </c>
    </row>
    <row r="97" spans="1:16" x14ac:dyDescent="0.25">
      <c r="A97" s="16" t="s">
        <v>7</v>
      </c>
      <c r="B97" s="63">
        <f t="shared" ref="B97:N97" si="68">+B47+B85</f>
        <v>0</v>
      </c>
      <c r="C97" s="63">
        <f>+C47+C85</f>
        <v>0</v>
      </c>
      <c r="D97" s="63">
        <f t="shared" si="68"/>
        <v>0</v>
      </c>
      <c r="E97" s="63">
        <f t="shared" si="68"/>
        <v>0</v>
      </c>
      <c r="F97" s="63">
        <f t="shared" si="68"/>
        <v>0</v>
      </c>
      <c r="G97" s="63">
        <f t="shared" si="68"/>
        <v>13731379.89013</v>
      </c>
      <c r="H97" s="63">
        <f t="shared" si="68"/>
        <v>0</v>
      </c>
      <c r="I97" s="63">
        <f t="shared" si="68"/>
        <v>0</v>
      </c>
      <c r="J97" s="63">
        <f t="shared" si="68"/>
        <v>0</v>
      </c>
      <c r="K97" s="63">
        <f t="shared" si="68"/>
        <v>0</v>
      </c>
      <c r="L97" s="63">
        <f t="shared" si="68"/>
        <v>0</v>
      </c>
      <c r="M97" s="63">
        <f t="shared" si="68"/>
        <v>0</v>
      </c>
      <c r="N97" s="63">
        <f t="shared" si="68"/>
        <v>0</v>
      </c>
      <c r="O97" s="63">
        <f>SUM(B97:N97)</f>
        <v>13731379.89013</v>
      </c>
      <c r="P97" s="43"/>
    </row>
    <row r="98" spans="1:16" x14ac:dyDescent="0.25">
      <c r="B98" s="40"/>
      <c r="C98" s="40"/>
      <c r="D98" s="40"/>
      <c r="E98" s="40"/>
      <c r="F98" s="40"/>
      <c r="G98" s="24"/>
      <c r="H98" s="24"/>
      <c r="I98" s="24"/>
      <c r="J98" s="24"/>
      <c r="K98" s="24"/>
      <c r="L98" s="24"/>
      <c r="M98" s="24"/>
      <c r="N98" s="24"/>
      <c r="O98" s="24"/>
    </row>
    <row r="99" spans="1:16" x14ac:dyDescent="0.25">
      <c r="A99" s="12" t="s">
        <v>21</v>
      </c>
      <c r="B99" s="61"/>
      <c r="C99" s="61"/>
      <c r="D99" s="61"/>
      <c r="E99" s="61"/>
      <c r="F99" s="61"/>
      <c r="G99" s="49"/>
      <c r="H99" s="49"/>
      <c r="I99" s="49"/>
      <c r="J99" s="49"/>
      <c r="K99" s="49"/>
      <c r="L99" s="49"/>
      <c r="M99" s="49"/>
      <c r="N99" s="49"/>
      <c r="O99" s="56"/>
      <c r="P99" s="11"/>
    </row>
    <row r="100" spans="1:16" x14ac:dyDescent="0.25">
      <c r="A100" s="13" t="s">
        <v>6</v>
      </c>
      <c r="B100" s="49">
        <f>B96*0.96</f>
        <v>0</v>
      </c>
      <c r="C100" s="49">
        <f>C96*0.97</f>
        <v>0</v>
      </c>
      <c r="D100" s="49">
        <f>D96*0.97</f>
        <v>0</v>
      </c>
      <c r="E100" s="49">
        <f>E96*0.99</f>
        <v>0</v>
      </c>
      <c r="F100" s="49">
        <f>F96*0.98</f>
        <v>0</v>
      </c>
      <c r="G100" s="49">
        <f>G96*0.95</f>
        <v>30318.015339149995</v>
      </c>
      <c r="H100" s="49">
        <f>H96*0.98</f>
        <v>0</v>
      </c>
      <c r="I100" s="49">
        <f>I96*0.98</f>
        <v>0</v>
      </c>
      <c r="J100" s="49">
        <f>J96*0.98</f>
        <v>0</v>
      </c>
      <c r="K100" s="49">
        <f>K96*0.98</f>
        <v>0</v>
      </c>
      <c r="L100" s="49">
        <f>L96*0.96</f>
        <v>0</v>
      </c>
      <c r="M100" s="49">
        <f>M96*0.95</f>
        <v>0</v>
      </c>
      <c r="N100" s="49">
        <f>N96*0.95</f>
        <v>0</v>
      </c>
      <c r="O100" s="82"/>
      <c r="P100" s="44">
        <f>MAX(B100:N100)</f>
        <v>30318.015339149995</v>
      </c>
    </row>
    <row r="101" spans="1:16" x14ac:dyDescent="0.25">
      <c r="A101" s="14" t="s">
        <v>18</v>
      </c>
      <c r="B101" s="14" t="e">
        <f t="shared" ref="B101:N101" si="69">+B96/B100</f>
        <v>#DIV/0!</v>
      </c>
      <c r="C101" s="14" t="e">
        <f>+C96/C100</f>
        <v>#DIV/0!</v>
      </c>
      <c r="D101" s="14" t="e">
        <f t="shared" si="69"/>
        <v>#DIV/0!</v>
      </c>
      <c r="E101" s="14" t="e">
        <f t="shared" si="69"/>
        <v>#DIV/0!</v>
      </c>
      <c r="F101" s="14" t="e">
        <f t="shared" si="69"/>
        <v>#DIV/0!</v>
      </c>
      <c r="G101" s="14">
        <f t="shared" si="69"/>
        <v>1.0526315789473686</v>
      </c>
      <c r="H101" s="14" t="e">
        <f t="shared" si="69"/>
        <v>#DIV/0!</v>
      </c>
      <c r="I101" s="14" t="e">
        <f t="shared" si="69"/>
        <v>#DIV/0!</v>
      </c>
      <c r="J101" s="14" t="e">
        <f t="shared" si="69"/>
        <v>#DIV/0!</v>
      </c>
      <c r="K101" s="14" t="e">
        <f t="shared" si="69"/>
        <v>#DIV/0!</v>
      </c>
      <c r="L101" s="14" t="e">
        <f t="shared" si="69"/>
        <v>#DIV/0!</v>
      </c>
      <c r="M101" s="14" t="e">
        <f t="shared" si="69"/>
        <v>#DIV/0!</v>
      </c>
      <c r="N101" s="14" t="e">
        <f t="shared" si="69"/>
        <v>#DIV/0!</v>
      </c>
      <c r="O101" s="61"/>
      <c r="P101" s="14">
        <f>+P96/P100</f>
        <v>1.0526315789473686</v>
      </c>
    </row>
    <row r="102" spans="1:16" x14ac:dyDescent="0.25">
      <c r="A102" s="33"/>
      <c r="B102" s="33"/>
      <c r="C102" s="33"/>
      <c r="D102" s="33"/>
      <c r="E102" s="33"/>
      <c r="F102" s="33"/>
      <c r="G102" s="33"/>
      <c r="H102" s="33"/>
      <c r="I102" s="33"/>
      <c r="J102" s="33"/>
      <c r="K102" s="33"/>
      <c r="L102" s="33"/>
      <c r="M102" s="33"/>
      <c r="N102" s="33"/>
      <c r="O102" s="64"/>
      <c r="P102" s="33"/>
    </row>
    <row r="103" spans="1:16" x14ac:dyDescent="0.25">
      <c r="F103" s="61" t="s">
        <v>160</v>
      </c>
      <c r="G103" s="145">
        <f>P58+P65+P72</f>
        <v>14715.785073000003</v>
      </c>
      <c r="H103" s="33"/>
      <c r="I103" s="61" t="s">
        <v>160</v>
      </c>
      <c r="J103" s="145" t="e">
        <f>P27+P13+P20+P34</f>
        <v>#N/A</v>
      </c>
      <c r="L103" s="61" t="s">
        <v>160</v>
      </c>
      <c r="M103" s="145">
        <f>P96</f>
        <v>31913.700356999998</v>
      </c>
    </row>
    <row r="104" spans="1:16" x14ac:dyDescent="0.25">
      <c r="F104" s="160" t="s">
        <v>348</v>
      </c>
      <c r="G104" s="145">
        <f>P84</f>
        <v>14566.583495999999</v>
      </c>
      <c r="I104" s="160" t="s">
        <v>349</v>
      </c>
      <c r="J104" s="145">
        <f>P46</f>
        <v>17347.116860999999</v>
      </c>
      <c r="L104" s="61" t="s">
        <v>171</v>
      </c>
      <c r="M104" s="145">
        <f>P100</f>
        <v>30318.015339149995</v>
      </c>
    </row>
    <row r="105" spans="1:16" x14ac:dyDescent="0.25">
      <c r="F105" s="146" t="s">
        <v>162</v>
      </c>
      <c r="G105" s="147">
        <f>G103/G104</f>
        <v>1.0102427296724021</v>
      </c>
      <c r="I105" s="146" t="s">
        <v>162</v>
      </c>
      <c r="J105" s="147" t="e">
        <f>J103/J104</f>
        <v>#N/A</v>
      </c>
      <c r="L105" s="146" t="s">
        <v>162</v>
      </c>
      <c r="M105" s="147">
        <f>M103/M104</f>
        <v>1.0526315789473686</v>
      </c>
    </row>
    <row r="106" spans="1:16" x14ac:dyDescent="0.25">
      <c r="F106" s="252"/>
      <c r="G106" s="253"/>
      <c r="H106" s="24"/>
      <c r="I106" s="252"/>
      <c r="J106" s="253"/>
      <c r="K106" s="24"/>
      <c r="L106" s="252"/>
      <c r="M106" s="253"/>
    </row>
    <row r="107" spans="1:16" x14ac:dyDescent="0.25">
      <c r="B107" s="39" t="e">
        <f t="shared" ref="B107:N107" si="70">B43+B81</f>
        <v>#N/A</v>
      </c>
      <c r="C107" s="39" t="e">
        <f>C43+C81</f>
        <v>#N/A</v>
      </c>
      <c r="D107" s="39" t="e">
        <f t="shared" si="70"/>
        <v>#N/A</v>
      </c>
      <c r="E107" s="39" t="e">
        <f t="shared" si="70"/>
        <v>#N/A</v>
      </c>
      <c r="F107" s="39" t="e">
        <f t="shared" si="70"/>
        <v>#N/A</v>
      </c>
      <c r="G107" s="39" t="e">
        <f t="shared" si="70"/>
        <v>#N/A</v>
      </c>
      <c r="H107" s="39" t="e">
        <f t="shared" si="70"/>
        <v>#N/A</v>
      </c>
      <c r="I107" s="39" t="e">
        <f t="shared" si="70"/>
        <v>#N/A</v>
      </c>
      <c r="J107" s="39" t="e">
        <f t="shared" si="70"/>
        <v>#N/A</v>
      </c>
      <c r="K107" s="39" t="e">
        <f t="shared" si="70"/>
        <v>#N/A</v>
      </c>
      <c r="L107" s="39" t="e">
        <f t="shared" si="70"/>
        <v>#N/A</v>
      </c>
      <c r="M107" s="39" t="e">
        <f t="shared" si="70"/>
        <v>#N/A</v>
      </c>
      <c r="N107" s="39" t="e">
        <f t="shared" si="70"/>
        <v>#N/A</v>
      </c>
    </row>
    <row r="108" spans="1:16" x14ac:dyDescent="0.25">
      <c r="B108" s="251">
        <f t="shared" ref="B108:N108" si="71">B46+B84</f>
        <v>0</v>
      </c>
      <c r="C108" s="251">
        <f>C46+C84</f>
        <v>0</v>
      </c>
      <c r="D108" s="251">
        <f t="shared" si="71"/>
        <v>0</v>
      </c>
      <c r="E108" s="251">
        <f t="shared" si="71"/>
        <v>0</v>
      </c>
      <c r="F108" s="251">
        <f t="shared" si="71"/>
        <v>0</v>
      </c>
      <c r="G108" s="251">
        <f t="shared" si="71"/>
        <v>31913.700356999998</v>
      </c>
      <c r="H108" s="251">
        <f t="shared" si="71"/>
        <v>0</v>
      </c>
      <c r="I108" s="251">
        <f t="shared" si="71"/>
        <v>0</v>
      </c>
      <c r="J108" s="251">
        <f t="shared" si="71"/>
        <v>0</v>
      </c>
      <c r="K108" s="251">
        <f t="shared" si="71"/>
        <v>0</v>
      </c>
      <c r="L108" s="251">
        <f t="shared" si="71"/>
        <v>0</v>
      </c>
      <c r="M108" s="251">
        <f t="shared" si="71"/>
        <v>0</v>
      </c>
      <c r="N108" s="251">
        <f t="shared" si="71"/>
        <v>0</v>
      </c>
    </row>
    <row r="109" spans="1:16" x14ac:dyDescent="0.25">
      <c r="A109" t="s">
        <v>351</v>
      </c>
      <c r="B109" s="242" t="e">
        <f>B107/B108</f>
        <v>#N/A</v>
      </c>
      <c r="C109" s="242" t="e">
        <f>C107/C108</f>
        <v>#N/A</v>
      </c>
      <c r="D109" s="242" t="e">
        <f t="shared" ref="D109:N109" si="72">D107/D108</f>
        <v>#N/A</v>
      </c>
      <c r="E109" s="242" t="e">
        <f t="shared" si="72"/>
        <v>#N/A</v>
      </c>
      <c r="F109" s="242" t="e">
        <f t="shared" si="72"/>
        <v>#N/A</v>
      </c>
      <c r="G109" s="242" t="e">
        <f t="shared" si="72"/>
        <v>#N/A</v>
      </c>
      <c r="H109" s="242" t="e">
        <f t="shared" si="72"/>
        <v>#N/A</v>
      </c>
      <c r="I109" s="242" t="e">
        <f t="shared" si="72"/>
        <v>#N/A</v>
      </c>
      <c r="J109" s="242" t="e">
        <f t="shared" si="72"/>
        <v>#N/A</v>
      </c>
      <c r="K109" s="242" t="e">
        <f t="shared" si="72"/>
        <v>#N/A</v>
      </c>
      <c r="L109" s="242" t="e">
        <f t="shared" si="72"/>
        <v>#N/A</v>
      </c>
      <c r="M109" s="242" t="e">
        <f t="shared" si="72"/>
        <v>#N/A</v>
      </c>
      <c r="N109" s="242" t="e">
        <f t="shared" si="72"/>
        <v>#N/A</v>
      </c>
    </row>
    <row r="110" spans="1:16" x14ac:dyDescent="0.25">
      <c r="F110" s="252"/>
      <c r="G110" s="253"/>
      <c r="H110" s="24"/>
      <c r="I110" s="252"/>
      <c r="J110" s="253"/>
      <c r="K110" s="24"/>
      <c r="L110" s="252"/>
      <c r="M110" s="253"/>
    </row>
    <row r="111" spans="1:16" x14ac:dyDescent="0.25">
      <c r="A111" s="271" t="s">
        <v>237</v>
      </c>
      <c r="F111" s="252"/>
      <c r="G111" s="253"/>
      <c r="H111" s="24"/>
      <c r="I111" s="252"/>
      <c r="J111" s="253"/>
      <c r="K111" s="24"/>
      <c r="L111" s="252"/>
      <c r="M111" s="253"/>
    </row>
    <row r="112" spans="1:16" x14ac:dyDescent="0.25">
      <c r="A112" t="s">
        <v>433</v>
      </c>
    </row>
  </sheetData>
  <mergeCells count="21">
    <mergeCell ref="A9:A10"/>
    <mergeCell ref="B9:B10"/>
    <mergeCell ref="D9:D10"/>
    <mergeCell ref="E9:E10"/>
    <mergeCell ref="G9:G10"/>
    <mergeCell ref="C9:C10"/>
    <mergeCell ref="N9:N10"/>
    <mergeCell ref="P9:P10"/>
    <mergeCell ref="K9:K10"/>
    <mergeCell ref="L9:L10"/>
    <mergeCell ref="M9:M10"/>
    <mergeCell ref="O9:O10"/>
    <mergeCell ref="E2:M2"/>
    <mergeCell ref="E3:M3"/>
    <mergeCell ref="E4:M4"/>
    <mergeCell ref="E5:M5"/>
    <mergeCell ref="F9:F10"/>
    <mergeCell ref="E6:M6"/>
    <mergeCell ref="H9:H10"/>
    <mergeCell ref="I9:I10"/>
    <mergeCell ref="J9:J10"/>
  </mergeCells>
  <phoneticPr fontId="5" type="noConversion"/>
  <printOptions horizontalCentered="1" verticalCentered="1"/>
  <pageMargins left="0.19685039370078741" right="0.19685039370078741" top="0.19685039370078741" bottom="0.19685039370078741" header="0" footer="0"/>
  <pageSetup scale="56" orientation="landscape" horizontalDpi="300" verticalDpi="300" r:id="rId1"/>
  <headerFooter alignWithMargins="0">
    <oddFooter>&amp;RElaboro: Departamento de Planeacion Campeche</oddFooter>
  </headerFooter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Hoja9">
    <tabColor theme="8" tint="0.59999389629810485"/>
  </sheetPr>
  <dimension ref="A1:Q46"/>
  <sheetViews>
    <sheetView topLeftCell="A16" zoomScale="110" zoomScaleNormal="110" zoomScaleSheetLayoutView="75" workbookViewId="0">
      <selection activeCell="B17" sqref="B17:N17"/>
    </sheetView>
  </sheetViews>
  <sheetFormatPr baseColWidth="10" defaultRowHeight="13.2" x14ac:dyDescent="0.25"/>
  <cols>
    <col min="1" max="1" width="14.109375" bestFit="1" customWidth="1"/>
    <col min="2" max="4" width="15.6640625" customWidth="1"/>
    <col min="5" max="5" width="13.6640625" customWidth="1"/>
    <col min="6" max="16" width="15.6640625" customWidth="1"/>
  </cols>
  <sheetData>
    <row r="1" spans="1:17" x14ac:dyDescent="0.25">
      <c r="A1" s="361" t="s">
        <v>435</v>
      </c>
    </row>
    <row r="2" spans="1:17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7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7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7" x14ac:dyDescent="0.25">
      <c r="E5" s="398" t="s">
        <v>27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7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7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7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7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7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7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7" s="24" customFormat="1" x14ac:dyDescent="0.25">
      <c r="A12" s="271" t="s">
        <v>449</v>
      </c>
      <c r="B12" s="262"/>
      <c r="C12" s="262"/>
      <c r="D12" s="262"/>
      <c r="E12" s="262"/>
      <c r="F12" s="65"/>
      <c r="G12" s="66"/>
      <c r="H12" s="66"/>
      <c r="I12" s="66"/>
      <c r="J12" s="66"/>
      <c r="K12" s="50"/>
      <c r="L12" s="50"/>
      <c r="M12" s="50"/>
      <c r="N12" s="50"/>
      <c r="O12" s="50"/>
      <c r="P12" s="50"/>
    </row>
    <row r="13" spans="1:17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4063.9716790000002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4063.9716790000002</v>
      </c>
      <c r="Q13" s="337">
        <f>P13/1000</f>
        <v>4.0639716789999998</v>
      </c>
    </row>
    <row r="14" spans="1:17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2261909.5145450002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2261909.5145450002</v>
      </c>
      <c r="P14" s="43">
        <f>SUM(B14:N14)/(COUNTIF(B14:N14,"&gt;0"))</f>
        <v>2261909.5145450002</v>
      </c>
    </row>
    <row r="15" spans="1:17" x14ac:dyDescent="0.25">
      <c r="A15" s="3" t="s">
        <v>16</v>
      </c>
      <c r="B15" s="37" t="e">
        <f t="shared" ref="B15:H15" si="0">+((B13/B17)^2-(B13^2))^(0.5)</f>
        <v>#DIV/0!</v>
      </c>
      <c r="C15" s="37" t="e">
        <f>+((C13/C17)^2-(C13^2))^(0.5)</f>
        <v>#DIV/0!</v>
      </c>
      <c r="D15" s="37" t="e">
        <f t="shared" si="0"/>
        <v>#DIV/0!</v>
      </c>
      <c r="E15" s="37" t="e">
        <f>+((E13/E17)^2-(E13^2))^(0.5)</f>
        <v>#DIV/0!</v>
      </c>
      <c r="F15" s="37" t="e">
        <f t="shared" si="0"/>
        <v>#DIV/0!</v>
      </c>
      <c r="G15" s="37">
        <f t="shared" si="0"/>
        <v>338.60311177612812</v>
      </c>
      <c r="H15" s="37" t="e">
        <f t="shared" si="0"/>
        <v>#DIV/0!</v>
      </c>
      <c r="I15" s="37" t="e">
        <f t="shared" ref="I15:N15" si="1">+((I13/I17)^2-(I13^2))^(0.5)</f>
        <v>#DIV/0!</v>
      </c>
      <c r="J15" s="37" t="e">
        <f t="shared" si="1"/>
        <v>#DIV/0!</v>
      </c>
      <c r="K15" s="37" t="e">
        <f t="shared" si="1"/>
        <v>#DIV/0!</v>
      </c>
      <c r="L15" s="37" t="e">
        <f t="shared" si="1"/>
        <v>#DIV/0!</v>
      </c>
      <c r="M15" s="37" t="e">
        <f t="shared" si="1"/>
        <v>#DIV/0!</v>
      </c>
      <c r="N15" s="37" t="e">
        <f t="shared" si="1"/>
        <v>#DIV/0!</v>
      </c>
      <c r="O15" s="37"/>
      <c r="P15" s="4">
        <f>HLOOKUP(P13,B13:N15,3,FALSE)</f>
        <v>338.60311177612812</v>
      </c>
    </row>
    <row r="16" spans="1:17" x14ac:dyDescent="0.25">
      <c r="A16" s="3" t="s">
        <v>8</v>
      </c>
      <c r="B16" s="37">
        <f t="shared" ref="B16:H16" si="2">+B14/(24*B$8)</f>
        <v>0</v>
      </c>
      <c r="C16" s="37">
        <f>+C14/(24*C$8)</f>
        <v>0</v>
      </c>
      <c r="D16" s="37">
        <f t="shared" si="2"/>
        <v>0</v>
      </c>
      <c r="E16" s="37">
        <f t="shared" si="2"/>
        <v>0</v>
      </c>
      <c r="F16" s="37">
        <f t="shared" si="2"/>
        <v>0</v>
      </c>
      <c r="G16" s="37">
        <f t="shared" si="2"/>
        <v>3040.2009604099467</v>
      </c>
      <c r="H16" s="37">
        <f t="shared" si="2"/>
        <v>0</v>
      </c>
      <c r="I16" s="37">
        <f t="shared" ref="I16:N16" si="3">+I14/(24*I$8)</f>
        <v>0</v>
      </c>
      <c r="J16" s="37">
        <f t="shared" si="3"/>
        <v>0</v>
      </c>
      <c r="K16" s="37">
        <f t="shared" si="3"/>
        <v>0</v>
      </c>
      <c r="L16" s="37">
        <f t="shared" si="3"/>
        <v>0</v>
      </c>
      <c r="M16" s="37">
        <f t="shared" si="3"/>
        <v>0</v>
      </c>
      <c r="N16" s="37">
        <f t="shared" si="3"/>
        <v>0</v>
      </c>
      <c r="O16" s="6">
        <f>SUM(O14)/(24*O$8)</f>
        <v>258.20884869235164</v>
      </c>
      <c r="P16" s="4">
        <f>O14/(COUNTIF(B14:N14,"&gt;0")*720)</f>
        <v>3141.5409924236114</v>
      </c>
    </row>
    <row r="17" spans="1:17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0.99654699999999996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0.99654699999999996</v>
      </c>
    </row>
    <row r="18" spans="1:17" x14ac:dyDescent="0.25">
      <c r="A18" s="3" t="s">
        <v>17</v>
      </c>
      <c r="B18" s="37" t="e">
        <f t="shared" ref="B18:H18" si="4">+B16/B13</f>
        <v>#DIV/0!</v>
      </c>
      <c r="C18" s="37" t="e">
        <f>+C16/C13</f>
        <v>#DIV/0!</v>
      </c>
      <c r="D18" s="37" t="e">
        <f>+D16/D13</f>
        <v>#DIV/0!</v>
      </c>
      <c r="E18" s="37" t="e">
        <f t="shared" si="4"/>
        <v>#DIV/0!</v>
      </c>
      <c r="F18" s="37" t="e">
        <f t="shared" si="4"/>
        <v>#DIV/0!</v>
      </c>
      <c r="G18" s="37">
        <f t="shared" si="4"/>
        <v>0.74808615820817748</v>
      </c>
      <c r="H18" s="37" t="e">
        <f t="shared" si="4"/>
        <v>#DIV/0!</v>
      </c>
      <c r="I18" s="37" t="e">
        <f t="shared" ref="I18:N18" si="5">+I16/I13</f>
        <v>#DIV/0!</v>
      </c>
      <c r="J18" s="37" t="e">
        <f t="shared" si="5"/>
        <v>#DIV/0!</v>
      </c>
      <c r="K18" s="37" t="e">
        <f t="shared" si="5"/>
        <v>#DIV/0!</v>
      </c>
      <c r="L18" s="37" t="e">
        <f t="shared" si="5"/>
        <v>#DIV/0!</v>
      </c>
      <c r="M18" s="37" t="e">
        <f t="shared" si="5"/>
        <v>#DIV/0!</v>
      </c>
      <c r="N18" s="37" t="e">
        <f t="shared" si="5"/>
        <v>#DIV/0!</v>
      </c>
      <c r="O18" s="6"/>
      <c r="P18" s="4">
        <f>+P16/P13</f>
        <v>0.77302236348178333</v>
      </c>
    </row>
    <row r="19" spans="1:17" x14ac:dyDescent="0.25">
      <c r="A19" s="87"/>
      <c r="B19" s="179"/>
      <c r="C19" s="179"/>
      <c r="D19" s="179"/>
      <c r="E19" s="179"/>
      <c r="F19" s="179"/>
      <c r="G19" s="180"/>
      <c r="H19" s="180"/>
      <c r="I19" s="180"/>
      <c r="J19" s="180"/>
      <c r="K19" s="89"/>
      <c r="L19" s="89"/>
      <c r="M19" s="89"/>
      <c r="N19" s="89"/>
      <c r="O19" s="89"/>
      <c r="P19" s="88"/>
    </row>
    <row r="20" spans="1:17" x14ac:dyDescent="0.25">
      <c r="A20" s="48"/>
      <c r="B20" s="91"/>
      <c r="C20" s="91"/>
      <c r="D20" s="91"/>
      <c r="E20" s="91"/>
      <c r="F20" s="91"/>
      <c r="G20" s="64"/>
      <c r="H20" s="64"/>
      <c r="I20" s="64"/>
      <c r="J20" s="64"/>
      <c r="K20" s="64"/>
      <c r="L20" s="64"/>
      <c r="M20" s="64"/>
      <c r="N20" s="64"/>
      <c r="O20" s="64"/>
      <c r="P20" s="48"/>
    </row>
    <row r="21" spans="1:17" x14ac:dyDescent="0.25">
      <c r="A21" s="7" t="s">
        <v>10</v>
      </c>
      <c r="B21" s="72"/>
      <c r="C21" s="72"/>
      <c r="D21" s="72"/>
      <c r="E21" s="72"/>
      <c r="F21" s="72"/>
      <c r="G21" s="73"/>
      <c r="H21" s="73"/>
      <c r="I21" s="73"/>
      <c r="J21" s="73"/>
      <c r="K21" s="73"/>
      <c r="L21" s="53"/>
      <c r="M21" s="53"/>
      <c r="N21" s="53"/>
      <c r="O21" s="53"/>
      <c r="P21" s="8"/>
    </row>
    <row r="22" spans="1:17" x14ac:dyDescent="0.25">
      <c r="A22" s="9" t="s">
        <v>11</v>
      </c>
      <c r="B22" s="62">
        <f t="shared" ref="B22:N22" si="6">+B13</f>
        <v>0</v>
      </c>
      <c r="C22" s="62">
        <f>+C13</f>
        <v>0</v>
      </c>
      <c r="D22" s="62">
        <f>+D13</f>
        <v>0</v>
      </c>
      <c r="E22" s="62">
        <f t="shared" si="6"/>
        <v>0</v>
      </c>
      <c r="F22" s="62">
        <f t="shared" si="6"/>
        <v>0</v>
      </c>
      <c r="G22" s="62">
        <f t="shared" si="6"/>
        <v>4063.9716790000002</v>
      </c>
      <c r="H22" s="62">
        <f t="shared" si="6"/>
        <v>0</v>
      </c>
      <c r="I22" s="62">
        <f t="shared" si="6"/>
        <v>0</v>
      </c>
      <c r="J22" s="62">
        <f t="shared" si="6"/>
        <v>0</v>
      </c>
      <c r="K22" s="62">
        <f t="shared" si="6"/>
        <v>0</v>
      </c>
      <c r="L22" s="62">
        <f t="shared" si="6"/>
        <v>0</v>
      </c>
      <c r="M22" s="62">
        <f t="shared" si="6"/>
        <v>0</v>
      </c>
      <c r="N22" s="62">
        <f t="shared" si="6"/>
        <v>0</v>
      </c>
      <c r="O22" s="62"/>
      <c r="P22" s="42">
        <f>MAX(B22:N22)</f>
        <v>4063.9716790000002</v>
      </c>
    </row>
    <row r="23" spans="1:17" x14ac:dyDescent="0.25">
      <c r="A23" s="9" t="s">
        <v>7</v>
      </c>
      <c r="B23" s="62">
        <f>B14</f>
        <v>0</v>
      </c>
      <c r="C23" s="62">
        <f>C14</f>
        <v>0</v>
      </c>
      <c r="D23" s="62">
        <f t="shared" ref="D23:N23" si="7">D14</f>
        <v>0</v>
      </c>
      <c r="E23" s="62">
        <f t="shared" si="7"/>
        <v>0</v>
      </c>
      <c r="F23" s="62">
        <f t="shared" si="7"/>
        <v>0</v>
      </c>
      <c r="G23" s="62">
        <f t="shared" si="7"/>
        <v>2261909.5145450002</v>
      </c>
      <c r="H23" s="62">
        <f t="shared" si="7"/>
        <v>0</v>
      </c>
      <c r="I23" s="62">
        <f t="shared" si="7"/>
        <v>0</v>
      </c>
      <c r="J23" s="62">
        <f t="shared" si="7"/>
        <v>0</v>
      </c>
      <c r="K23" s="62">
        <f t="shared" si="7"/>
        <v>0</v>
      </c>
      <c r="L23" s="62">
        <f t="shared" si="7"/>
        <v>0</v>
      </c>
      <c r="M23" s="62">
        <f t="shared" si="7"/>
        <v>0</v>
      </c>
      <c r="N23" s="62">
        <f t="shared" si="7"/>
        <v>0</v>
      </c>
      <c r="O23" s="62">
        <f>SUM(B23:N23)</f>
        <v>2261909.5145450002</v>
      </c>
      <c r="P23" s="42"/>
    </row>
    <row r="24" spans="1:17" s="24" customFormat="1" x14ac:dyDescent="0.25">
      <c r="A24" s="272" t="s">
        <v>61</v>
      </c>
      <c r="B24" s="376" t="s">
        <v>485</v>
      </c>
      <c r="C24" s="246"/>
      <c r="D24" s="246"/>
      <c r="E24" s="246"/>
      <c r="F24" s="246"/>
      <c r="G24" s="247"/>
      <c r="H24" s="247"/>
      <c r="I24" s="247"/>
      <c r="J24" s="247"/>
      <c r="K24" s="36"/>
      <c r="L24" s="36"/>
      <c r="M24" s="36"/>
      <c r="N24" s="36"/>
      <c r="O24" s="36"/>
      <c r="P24" s="36"/>
    </row>
    <row r="25" spans="1:17" x14ac:dyDescent="0.25">
      <c r="A25" s="3" t="s">
        <v>6</v>
      </c>
      <c r="B25" s="380">
        <f>VLOOKUP($B$24,BancoTabla_1[],5,FALSE)</f>
        <v>0</v>
      </c>
      <c r="C25" s="380">
        <f>VLOOKUP($B$24,BancoTabla_2[],5,FALSE)</f>
        <v>0</v>
      </c>
      <c r="D25" s="380">
        <f>VLOOKUP($B$24,BancoTabla_3[],5,FALSE)</f>
        <v>0</v>
      </c>
      <c r="E25" s="380">
        <f>VLOOKUP($B$24,BancoTabla_4[],5,FALSE)</f>
        <v>0</v>
      </c>
      <c r="F25" s="380">
        <f>VLOOKUP($B$24,BancoTabla_5[],5,FALSE)</f>
        <v>0</v>
      </c>
      <c r="G25" s="380">
        <f>VLOOKUP($B$24,BancoTabla_6[],5,FALSE)</f>
        <v>4106.7133379999996</v>
      </c>
      <c r="H25" s="380">
        <f>VLOOKUP($B$24,BancoTabla_7[],5,FALSE)</f>
        <v>0</v>
      </c>
      <c r="I25" s="380">
        <f>VLOOKUP($B$24,BancoTabla_8[],5,FALSE)</f>
        <v>0</v>
      </c>
      <c r="J25" s="380">
        <f>VLOOKUP($B$24,BancoTabla_9[],5,FALSE)</f>
        <v>0</v>
      </c>
      <c r="K25" s="380">
        <f>VLOOKUP($B$24,BancoTabla_10[],5,FALSE)</f>
        <v>0</v>
      </c>
      <c r="L25" s="380">
        <f>VLOOKUP($B$24,BancoTabla_11[],5,FALSE)</f>
        <v>0</v>
      </c>
      <c r="M25" s="380">
        <f>VLOOKUP($B$24,BancoTabla_12[],5,FALSE)</f>
        <v>0</v>
      </c>
      <c r="N25" s="380">
        <f>VLOOKUP($B$24,BancoTabla_13[],5,FALSE)</f>
        <v>0</v>
      </c>
      <c r="O25" s="79"/>
      <c r="P25" s="43">
        <f>MAX(B25:N25)</f>
        <v>4106.7133379999996</v>
      </c>
      <c r="Q25" s="334">
        <f>P25/1000</f>
        <v>4.1067133379999996</v>
      </c>
    </row>
    <row r="26" spans="1:17" x14ac:dyDescent="0.25">
      <c r="A26" s="3" t="s">
        <v>7</v>
      </c>
      <c r="B26" s="380">
        <f>VLOOKUP($B$24,BancoTabla_1[],8,FALSE)</f>
        <v>0</v>
      </c>
      <c r="C26" s="380">
        <f>VLOOKUP($B$24,BancoTabla_2[],8,FALSE)</f>
        <v>0</v>
      </c>
      <c r="D26" s="380">
        <f>VLOOKUP($B$24,BancoTabla_3[],8,FALSE)</f>
        <v>0</v>
      </c>
      <c r="E26" s="380">
        <f>VLOOKUP($B$24,BancoTabla_4[],8,FALSE)</f>
        <v>0</v>
      </c>
      <c r="F26" s="380">
        <f>VLOOKUP($B$24,BancoTabla_5[],8,FALSE)</f>
        <v>0</v>
      </c>
      <c r="G26" s="380">
        <f>VLOOKUP($B$24,BancoTabla_6[],8,FALSE)</f>
        <v>2298932.8435709998</v>
      </c>
      <c r="H26" s="380">
        <f>VLOOKUP($B$24,BancoTabla_7[],8,FALSE)</f>
        <v>0</v>
      </c>
      <c r="I26" s="380">
        <f>VLOOKUP($B$24,BancoTabla_8[],8,FALSE)</f>
        <v>0</v>
      </c>
      <c r="J26" s="380">
        <f>VLOOKUP($B$24,BancoTabla_9[],8,FALSE)</f>
        <v>0</v>
      </c>
      <c r="K26" s="380">
        <f>VLOOKUP($B$24,BancoTabla_10[],8,FALSE)</f>
        <v>0</v>
      </c>
      <c r="L26" s="380">
        <f>VLOOKUP($B$24,BancoTabla_11[],8,FALSE)</f>
        <v>0</v>
      </c>
      <c r="M26" s="380">
        <f>VLOOKUP($B$24,BancoTabla_12[],8,FALSE)</f>
        <v>0</v>
      </c>
      <c r="N26" s="380">
        <f>VLOOKUP($B$24,BancoTabla_13[],8,FALSE)</f>
        <v>0</v>
      </c>
      <c r="O26" s="47">
        <f>SUM(B26:N26)</f>
        <v>2298932.8435709998</v>
      </c>
      <c r="P26" s="4">
        <f>SUM(B26:N26)/(COUNTIF(B26:N26,"&gt;0"))</f>
        <v>2298932.8435709998</v>
      </c>
    </row>
    <row r="27" spans="1:17" x14ac:dyDescent="0.25">
      <c r="A27" s="3" t="s">
        <v>16</v>
      </c>
      <c r="B27" s="37" t="e">
        <f t="shared" ref="B27:M27" si="8">+((B25/B29)^2-(B25^2))^(0.5)</f>
        <v>#DIV/0!</v>
      </c>
      <c r="C27" s="37" t="e">
        <f>+((C25/C29)^2-(C25^2))^(0.5)</f>
        <v>#DIV/0!</v>
      </c>
      <c r="D27" s="37" t="e">
        <f t="shared" si="8"/>
        <v>#DIV/0!</v>
      </c>
      <c r="E27" s="37" t="e">
        <f t="shared" si="8"/>
        <v>#DIV/0!</v>
      </c>
      <c r="F27" s="37" t="e">
        <f t="shared" si="8"/>
        <v>#DIV/0!</v>
      </c>
      <c r="G27" s="37">
        <f t="shared" si="8"/>
        <v>353.63030688660604</v>
      </c>
      <c r="H27" s="37" t="e">
        <f t="shared" si="8"/>
        <v>#DIV/0!</v>
      </c>
      <c r="I27" s="37" t="e">
        <f t="shared" si="8"/>
        <v>#DIV/0!</v>
      </c>
      <c r="J27" s="37" t="e">
        <f t="shared" si="8"/>
        <v>#DIV/0!</v>
      </c>
      <c r="K27" s="37" t="e">
        <f t="shared" si="8"/>
        <v>#DIV/0!</v>
      </c>
      <c r="L27" s="37" t="e">
        <f t="shared" si="8"/>
        <v>#DIV/0!</v>
      </c>
      <c r="M27" s="37" t="e">
        <f t="shared" si="8"/>
        <v>#DIV/0!</v>
      </c>
      <c r="N27" s="37" t="e">
        <f>+((N25/N29)^2-(N25^2))^(0.5)</f>
        <v>#DIV/0!</v>
      </c>
      <c r="O27" s="37"/>
      <c r="P27" s="4">
        <f>HLOOKUP(P25,B25:N27,3,FALSE)</f>
        <v>353.63030688660604</v>
      </c>
    </row>
    <row r="28" spans="1:17" x14ac:dyDescent="0.25">
      <c r="A28" s="3" t="s">
        <v>8</v>
      </c>
      <c r="B28" s="37">
        <f t="shared" ref="B28:M28" si="9">+B26/(24*B$8)</f>
        <v>0</v>
      </c>
      <c r="C28" s="37">
        <f>+C26/(24*C$8)</f>
        <v>0</v>
      </c>
      <c r="D28" s="37">
        <f t="shared" si="9"/>
        <v>0</v>
      </c>
      <c r="E28" s="37">
        <f t="shared" si="9"/>
        <v>0</v>
      </c>
      <c r="F28" s="37">
        <f t="shared" si="9"/>
        <v>0</v>
      </c>
      <c r="G28" s="37">
        <f t="shared" si="9"/>
        <v>3089.963499423387</v>
      </c>
      <c r="H28" s="37">
        <f t="shared" si="9"/>
        <v>0</v>
      </c>
      <c r="I28" s="37">
        <f t="shared" si="9"/>
        <v>0</v>
      </c>
      <c r="J28" s="37">
        <f t="shared" si="9"/>
        <v>0</v>
      </c>
      <c r="K28" s="37">
        <f t="shared" si="9"/>
        <v>0</v>
      </c>
      <c r="L28" s="37">
        <f t="shared" si="9"/>
        <v>0</v>
      </c>
      <c r="M28" s="37">
        <f t="shared" si="9"/>
        <v>0</v>
      </c>
      <c r="N28" s="37">
        <f>+N26/(24*N$8)</f>
        <v>0</v>
      </c>
      <c r="O28" s="6">
        <f>SUM(O26)/(24*O$8)</f>
        <v>262.43525611541094</v>
      </c>
      <c r="P28" s="4">
        <f>O26/(COUNTIF(B26:N26,"&gt;0")*720)</f>
        <v>3192.9622827374997</v>
      </c>
    </row>
    <row r="29" spans="1:17" x14ac:dyDescent="0.25">
      <c r="A29" s="3" t="s">
        <v>9</v>
      </c>
      <c r="B29" s="380">
        <f>VLOOKUP($B$24,BancoTabla_1[],10,FALSE)</f>
        <v>0</v>
      </c>
      <c r="C29" s="380">
        <f>VLOOKUP($B$24,BancoTabla_2[],10,FALSE)</f>
        <v>0</v>
      </c>
      <c r="D29" s="380">
        <f>VLOOKUP($B$24,BancoTabla_3[],10,FALSE)</f>
        <v>0</v>
      </c>
      <c r="E29" s="380">
        <f>VLOOKUP($B$24,BancoTabla_4[],10,FALSE)</f>
        <v>0</v>
      </c>
      <c r="F29" s="380">
        <f>VLOOKUP($B$24,BancoTabla_5[],10,FALSE)</f>
        <v>0</v>
      </c>
      <c r="G29" s="380">
        <f>VLOOKUP($B$24,BancoTabla_6[],10,FALSE)</f>
        <v>0.996313</v>
      </c>
      <c r="H29" s="380">
        <f>VLOOKUP($B$24,BancoTabla_7[],10,FALSE)</f>
        <v>0</v>
      </c>
      <c r="I29" s="380">
        <f>VLOOKUP($B$24,BancoTabla_8[],10,FALSE)</f>
        <v>0</v>
      </c>
      <c r="J29" s="380">
        <f>VLOOKUP($B$24,BancoTabla_9[],10,FALSE)</f>
        <v>0</v>
      </c>
      <c r="K29" s="380">
        <f>VLOOKUP($B$24,BancoTabla_10[],10,FALSE)</f>
        <v>0</v>
      </c>
      <c r="L29" s="380">
        <f>VLOOKUP($B$24,BancoTabla_11[],10,FALSE)</f>
        <v>0</v>
      </c>
      <c r="M29" s="380">
        <f>VLOOKUP($B$24,BancoTabla_12[],10,FALSE)</f>
        <v>0</v>
      </c>
      <c r="N29" s="380">
        <f>VLOOKUP($B$24,BancoTabla_13[],10,FALSE)</f>
        <v>0</v>
      </c>
      <c r="O29" s="6"/>
      <c r="P29" s="4">
        <f>COS(ATAN(P27/P25))</f>
        <v>0.996313</v>
      </c>
    </row>
    <row r="30" spans="1:17" x14ac:dyDescent="0.25">
      <c r="A30" s="3" t="s">
        <v>17</v>
      </c>
      <c r="B30" s="37" t="e">
        <f t="shared" ref="B30:M30" si="10">+B28/B25</f>
        <v>#DIV/0!</v>
      </c>
      <c r="C30" s="37" t="e">
        <f>+C28/C25</f>
        <v>#DIV/0!</v>
      </c>
      <c r="D30" s="37" t="e">
        <f t="shared" si="10"/>
        <v>#DIV/0!</v>
      </c>
      <c r="E30" s="37" t="e">
        <f t="shared" si="10"/>
        <v>#DIV/0!</v>
      </c>
      <c r="F30" s="37" t="e">
        <f t="shared" si="10"/>
        <v>#DIV/0!</v>
      </c>
      <c r="G30" s="363">
        <f>+G28/G25</f>
        <v>0.7524176257523304</v>
      </c>
      <c r="H30" s="37" t="e">
        <f t="shared" si="10"/>
        <v>#DIV/0!</v>
      </c>
      <c r="I30" s="37" t="e">
        <f t="shared" si="10"/>
        <v>#DIV/0!</v>
      </c>
      <c r="J30" s="37" t="e">
        <f t="shared" si="10"/>
        <v>#DIV/0!</v>
      </c>
      <c r="K30" s="37" t="e">
        <f t="shared" si="10"/>
        <v>#DIV/0!</v>
      </c>
      <c r="L30" s="37" t="e">
        <f>+L28/L25</f>
        <v>#DIV/0!</v>
      </c>
      <c r="M30" s="37" t="e">
        <f t="shared" si="10"/>
        <v>#DIV/0!</v>
      </c>
      <c r="N30" s="37" t="e">
        <f>+N28/N25</f>
        <v>#DIV/0!</v>
      </c>
      <c r="O30" s="6"/>
      <c r="P30" s="4">
        <f>+P28/P25</f>
        <v>0.77749821327740798</v>
      </c>
    </row>
    <row r="31" spans="1:17" x14ac:dyDescent="0.25">
      <c r="A31" s="3" t="s">
        <v>18</v>
      </c>
      <c r="B31" s="37" t="e">
        <f>+B22/B25</f>
        <v>#DIV/0!</v>
      </c>
      <c r="C31" s="37" t="e">
        <f>+C22/C25</f>
        <v>#DIV/0!</v>
      </c>
      <c r="D31" s="328" t="e">
        <f t="shared" ref="D31:M31" si="11">+D22/D25</f>
        <v>#DIV/0!</v>
      </c>
      <c r="E31" s="328" t="e">
        <f>+E22/E25</f>
        <v>#DIV/0!</v>
      </c>
      <c r="F31" s="37" t="e">
        <f t="shared" si="11"/>
        <v>#DIV/0!</v>
      </c>
      <c r="G31" s="37">
        <f>+G22/G25</f>
        <v>0.98959224677200996</v>
      </c>
      <c r="H31" s="37" t="e">
        <f t="shared" si="11"/>
        <v>#DIV/0!</v>
      </c>
      <c r="I31" s="37" t="e">
        <f t="shared" si="11"/>
        <v>#DIV/0!</v>
      </c>
      <c r="J31" s="37" t="e">
        <f t="shared" si="11"/>
        <v>#DIV/0!</v>
      </c>
      <c r="K31" s="37" t="e">
        <f t="shared" si="11"/>
        <v>#DIV/0!</v>
      </c>
      <c r="L31" s="37" t="e">
        <f t="shared" si="11"/>
        <v>#DIV/0!</v>
      </c>
      <c r="M31" s="37" t="e">
        <f t="shared" si="11"/>
        <v>#DIV/0!</v>
      </c>
      <c r="N31" s="37" t="e">
        <f>+N22/N25</f>
        <v>#DIV/0!</v>
      </c>
      <c r="O31" s="6"/>
      <c r="P31" s="4">
        <f>+P22/P25</f>
        <v>0.98959224677200996</v>
      </c>
    </row>
    <row r="32" spans="1:17" x14ac:dyDescent="0.25">
      <c r="A32" s="3" t="s">
        <v>19</v>
      </c>
      <c r="B32" s="37">
        <f t="shared" ref="B32:N32" si="12">+B25/$B$33</f>
        <v>0</v>
      </c>
      <c r="C32" s="37">
        <f>+C25/$B$33</f>
        <v>0</v>
      </c>
      <c r="D32" s="37">
        <f t="shared" si="12"/>
        <v>0</v>
      </c>
      <c r="E32" s="37">
        <f t="shared" si="12"/>
        <v>0</v>
      </c>
      <c r="F32" s="37">
        <f t="shared" si="12"/>
        <v>0</v>
      </c>
      <c r="G32" s="37">
        <f t="shared" si="12"/>
        <v>0.32975286585641256</v>
      </c>
      <c r="H32" s="37">
        <f t="shared" si="12"/>
        <v>0</v>
      </c>
      <c r="I32" s="37">
        <f t="shared" si="12"/>
        <v>0</v>
      </c>
      <c r="J32" s="37">
        <f t="shared" si="12"/>
        <v>0</v>
      </c>
      <c r="K32" s="37">
        <f t="shared" si="12"/>
        <v>0</v>
      </c>
      <c r="L32" s="37">
        <f t="shared" si="12"/>
        <v>0</v>
      </c>
      <c r="M32" s="37">
        <f t="shared" si="12"/>
        <v>0</v>
      </c>
      <c r="N32" s="37">
        <f t="shared" si="12"/>
        <v>0</v>
      </c>
      <c r="O32" s="6"/>
      <c r="P32" s="4">
        <f>+P25/$B$33</f>
        <v>0.32975286585641256</v>
      </c>
    </row>
    <row r="33" spans="1:16" x14ac:dyDescent="0.25">
      <c r="A33" s="3" t="s">
        <v>20</v>
      </c>
      <c r="B33" s="4">
        <f>12.5*P29*1000</f>
        <v>12453.9125</v>
      </c>
      <c r="C33" s="4"/>
      <c r="D33" s="4"/>
      <c r="E33" s="4"/>
      <c r="F33" s="4"/>
      <c r="G33" s="3"/>
      <c r="H33" s="3"/>
      <c r="I33" s="3"/>
      <c r="J33" s="3"/>
      <c r="K33" s="4"/>
      <c r="L33" s="4"/>
      <c r="M33" s="4"/>
      <c r="N33" s="4"/>
      <c r="O33" s="37"/>
      <c r="P33" s="4"/>
    </row>
    <row r="34" spans="1:16" x14ac:dyDescent="0.25">
      <c r="B34" s="237">
        <f>B25/$B$33</f>
        <v>0</v>
      </c>
      <c r="C34" s="237">
        <f>C25/$B$33</f>
        <v>0</v>
      </c>
      <c r="D34" s="237">
        <f t="shared" ref="D34:N34" si="13">D25/$B$33</f>
        <v>0</v>
      </c>
      <c r="E34" s="237">
        <f t="shared" si="13"/>
        <v>0</v>
      </c>
      <c r="F34" s="237">
        <f t="shared" si="13"/>
        <v>0</v>
      </c>
      <c r="G34" s="237">
        <f t="shared" si="13"/>
        <v>0.32975286585641256</v>
      </c>
      <c r="H34" s="237">
        <f t="shared" si="13"/>
        <v>0</v>
      </c>
      <c r="I34" s="237">
        <f t="shared" si="13"/>
        <v>0</v>
      </c>
      <c r="J34" s="237">
        <f t="shared" si="13"/>
        <v>0</v>
      </c>
      <c r="K34" s="237">
        <f t="shared" si="13"/>
        <v>0</v>
      </c>
      <c r="L34" s="237">
        <f t="shared" si="13"/>
        <v>0</v>
      </c>
      <c r="M34" s="237">
        <f t="shared" si="13"/>
        <v>0</v>
      </c>
      <c r="N34" s="237">
        <f t="shared" si="13"/>
        <v>0</v>
      </c>
      <c r="O34" s="24"/>
    </row>
    <row r="35" spans="1:16" x14ac:dyDescent="0.25">
      <c r="B35" s="26"/>
      <c r="C35" s="26"/>
      <c r="D35" s="26"/>
      <c r="E35" s="26"/>
      <c r="F35" s="26"/>
      <c r="O35" s="24"/>
    </row>
    <row r="36" spans="1:16" x14ac:dyDescent="0.25">
      <c r="A36" s="15" t="s">
        <v>14</v>
      </c>
      <c r="B36" s="29"/>
      <c r="C36" s="29"/>
      <c r="D36" s="29"/>
      <c r="E36" s="29"/>
      <c r="F36" s="29"/>
      <c r="G36" s="15"/>
      <c r="H36" s="15"/>
      <c r="I36" s="15"/>
      <c r="J36" s="15"/>
      <c r="K36" s="16"/>
      <c r="L36" s="16"/>
      <c r="M36" s="16"/>
      <c r="N36" s="16"/>
      <c r="O36" s="57"/>
      <c r="P36" s="16"/>
    </row>
    <row r="37" spans="1:16" x14ac:dyDescent="0.25">
      <c r="A37" s="16" t="s">
        <v>11</v>
      </c>
      <c r="B37" s="45">
        <f>+B25</f>
        <v>0</v>
      </c>
      <c r="C37" s="45">
        <f>+C25</f>
        <v>0</v>
      </c>
      <c r="D37" s="45">
        <f t="shared" ref="D37:M38" si="14">+D25</f>
        <v>0</v>
      </c>
      <c r="E37" s="45">
        <f t="shared" si="14"/>
        <v>0</v>
      </c>
      <c r="F37" s="45">
        <f t="shared" si="14"/>
        <v>0</v>
      </c>
      <c r="G37" s="45">
        <f t="shared" si="14"/>
        <v>4106.7133379999996</v>
      </c>
      <c r="H37" s="45">
        <f t="shared" si="14"/>
        <v>0</v>
      </c>
      <c r="I37" s="45">
        <f t="shared" si="14"/>
        <v>0</v>
      </c>
      <c r="J37" s="45">
        <f t="shared" si="14"/>
        <v>0</v>
      </c>
      <c r="K37" s="45">
        <f t="shared" si="14"/>
        <v>0</v>
      </c>
      <c r="L37" s="45">
        <f t="shared" si="14"/>
        <v>0</v>
      </c>
      <c r="M37" s="45">
        <f t="shared" si="14"/>
        <v>0</v>
      </c>
      <c r="N37" s="45">
        <f>+N25</f>
        <v>0</v>
      </c>
      <c r="O37" s="63"/>
      <c r="P37" s="45">
        <f>MAX(B37:N37)</f>
        <v>4106.7133379999996</v>
      </c>
    </row>
    <row r="38" spans="1:16" x14ac:dyDescent="0.25">
      <c r="A38" s="16" t="s">
        <v>7</v>
      </c>
      <c r="B38" s="45">
        <f>+B26</f>
        <v>0</v>
      </c>
      <c r="C38" s="45">
        <f>+C26</f>
        <v>0</v>
      </c>
      <c r="D38" s="45">
        <f t="shared" si="14"/>
        <v>0</v>
      </c>
      <c r="E38" s="45">
        <f t="shared" si="14"/>
        <v>0</v>
      </c>
      <c r="F38" s="45">
        <f t="shared" si="14"/>
        <v>0</v>
      </c>
      <c r="G38" s="45">
        <f t="shared" si="14"/>
        <v>2298932.8435709998</v>
      </c>
      <c r="H38" s="45">
        <f t="shared" si="14"/>
        <v>0</v>
      </c>
      <c r="I38" s="45">
        <f t="shared" si="14"/>
        <v>0</v>
      </c>
      <c r="J38" s="45">
        <f t="shared" si="14"/>
        <v>0</v>
      </c>
      <c r="K38" s="45">
        <f t="shared" si="14"/>
        <v>0</v>
      </c>
      <c r="L38" s="45">
        <f t="shared" si="14"/>
        <v>0</v>
      </c>
      <c r="M38" s="45">
        <f t="shared" si="14"/>
        <v>0</v>
      </c>
      <c r="N38" s="45">
        <f>+N26</f>
        <v>0</v>
      </c>
      <c r="O38" s="63">
        <f>SUM(B38:N38)</f>
        <v>2298932.8435709998</v>
      </c>
      <c r="P38" s="43"/>
    </row>
    <row r="39" spans="1:16" x14ac:dyDescent="0.25">
      <c r="B39" s="26"/>
      <c r="C39" s="26"/>
      <c r="D39" s="26"/>
      <c r="E39" s="26"/>
      <c r="F39" s="26"/>
      <c r="O39" s="24"/>
    </row>
    <row r="40" spans="1:16" x14ac:dyDescent="0.25">
      <c r="A40" s="12" t="s">
        <v>21</v>
      </c>
      <c r="B40" s="28"/>
      <c r="C40" s="28"/>
      <c r="D40" s="28"/>
      <c r="E40" s="28"/>
      <c r="F40" s="28"/>
      <c r="G40" s="12"/>
      <c r="H40" s="12"/>
      <c r="I40" s="12"/>
      <c r="J40" s="12"/>
      <c r="K40" s="11"/>
      <c r="L40" s="11"/>
      <c r="M40" s="11"/>
      <c r="N40" s="11"/>
      <c r="O40" s="56"/>
      <c r="P40" s="11"/>
    </row>
    <row r="41" spans="1:16" x14ac:dyDescent="0.25">
      <c r="A41" s="13" t="s">
        <v>6</v>
      </c>
      <c r="B41" s="49">
        <f>B37</f>
        <v>0</v>
      </c>
      <c r="C41" s="49">
        <f>C37</f>
        <v>0</v>
      </c>
      <c r="D41" s="49">
        <f t="shared" ref="D41:M41" si="15">D37</f>
        <v>0</v>
      </c>
      <c r="E41" s="49">
        <f t="shared" si="15"/>
        <v>0</v>
      </c>
      <c r="F41" s="49">
        <f t="shared" si="15"/>
        <v>0</v>
      </c>
      <c r="G41" s="49">
        <f t="shared" si="15"/>
        <v>4106.7133379999996</v>
      </c>
      <c r="H41" s="49">
        <f t="shared" si="15"/>
        <v>0</v>
      </c>
      <c r="I41" s="49">
        <f t="shared" si="15"/>
        <v>0</v>
      </c>
      <c r="J41" s="49">
        <f t="shared" si="15"/>
        <v>0</v>
      </c>
      <c r="K41" s="49">
        <f t="shared" si="15"/>
        <v>0</v>
      </c>
      <c r="L41" s="49">
        <f t="shared" si="15"/>
        <v>0</v>
      </c>
      <c r="M41" s="49">
        <f t="shared" si="15"/>
        <v>0</v>
      </c>
      <c r="N41" s="49">
        <f>N37</f>
        <v>0</v>
      </c>
      <c r="O41" s="82"/>
      <c r="P41" s="44">
        <f>MAX(B41:N41)</f>
        <v>4106.7133379999996</v>
      </c>
    </row>
    <row r="42" spans="1:16" x14ac:dyDescent="0.25">
      <c r="A42" s="14" t="s">
        <v>18</v>
      </c>
      <c r="B42" s="14" t="e">
        <f t="shared" ref="B42:M42" si="16">+B37/B41</f>
        <v>#DIV/0!</v>
      </c>
      <c r="C42" s="14" t="e">
        <f>+C37/C41</f>
        <v>#DIV/0!</v>
      </c>
      <c r="D42" s="14" t="e">
        <f t="shared" si="16"/>
        <v>#DIV/0!</v>
      </c>
      <c r="E42" s="14" t="e">
        <f t="shared" si="16"/>
        <v>#DIV/0!</v>
      </c>
      <c r="F42" s="14" t="e">
        <f t="shared" si="16"/>
        <v>#DIV/0!</v>
      </c>
      <c r="G42" s="14">
        <f t="shared" si="16"/>
        <v>1</v>
      </c>
      <c r="H42" s="14" t="e">
        <f t="shared" si="16"/>
        <v>#DIV/0!</v>
      </c>
      <c r="I42" s="14" t="e">
        <f t="shared" si="16"/>
        <v>#DIV/0!</v>
      </c>
      <c r="J42" s="14" t="e">
        <f t="shared" si="16"/>
        <v>#DIV/0!</v>
      </c>
      <c r="K42" s="14" t="e">
        <f t="shared" si="16"/>
        <v>#DIV/0!</v>
      </c>
      <c r="L42" s="14" t="e">
        <f t="shared" si="16"/>
        <v>#DIV/0!</v>
      </c>
      <c r="M42" s="14" t="e">
        <f t="shared" si="16"/>
        <v>#DIV/0!</v>
      </c>
      <c r="N42" s="14" t="e">
        <f>+N37/N41</f>
        <v>#DIV/0!</v>
      </c>
      <c r="O42" s="5"/>
      <c r="P42" s="14">
        <f>+P37/P41</f>
        <v>1</v>
      </c>
    </row>
    <row r="43" spans="1:16" x14ac:dyDescent="0.25">
      <c r="A43" s="33"/>
      <c r="B43" s="33"/>
      <c r="C43" s="33"/>
      <c r="D43" s="33"/>
      <c r="E43" s="33"/>
      <c r="F43" s="33"/>
      <c r="G43" s="33"/>
      <c r="H43" s="33"/>
      <c r="I43" s="33"/>
      <c r="J43" s="33"/>
      <c r="K43" s="33"/>
      <c r="L43" s="33"/>
      <c r="M43" s="33"/>
      <c r="N43" s="33"/>
      <c r="O43" s="48"/>
      <c r="P43" s="33"/>
    </row>
    <row r="44" spans="1:16" x14ac:dyDescent="0.25">
      <c r="A44" s="33"/>
      <c r="B44" s="33"/>
      <c r="C44" s="33"/>
      <c r="D44" s="33"/>
      <c r="E44" s="33"/>
      <c r="F44" s="61" t="s">
        <v>160</v>
      </c>
      <c r="G44" s="145">
        <f>P13</f>
        <v>4063.9716790000002</v>
      </c>
      <c r="H44" s="33"/>
      <c r="I44" s="33"/>
      <c r="J44" s="33"/>
      <c r="K44" s="33"/>
      <c r="L44" s="33"/>
      <c r="M44" s="33"/>
      <c r="N44" s="33"/>
      <c r="O44" s="48"/>
      <c r="P44" s="33"/>
    </row>
    <row r="45" spans="1:16" x14ac:dyDescent="0.25">
      <c r="F45" s="61" t="s">
        <v>161</v>
      </c>
      <c r="G45" s="145">
        <f>P25</f>
        <v>4106.7133379999996</v>
      </c>
    </row>
    <row r="46" spans="1:16" x14ac:dyDescent="0.25">
      <c r="F46" s="146" t="s">
        <v>162</v>
      </c>
      <c r="G46" s="147">
        <f>G44/G45</f>
        <v>0.98959224677200996</v>
      </c>
    </row>
  </sheetData>
  <mergeCells count="21">
    <mergeCell ref="A9:A10"/>
    <mergeCell ref="B9:B10"/>
    <mergeCell ref="D9:D10"/>
    <mergeCell ref="E9:E10"/>
    <mergeCell ref="G9:G10"/>
    <mergeCell ref="C9:C10"/>
    <mergeCell ref="N9:N10"/>
    <mergeCell ref="P9:P10"/>
    <mergeCell ref="K9:K10"/>
    <mergeCell ref="L9:L10"/>
    <mergeCell ref="M9:M10"/>
    <mergeCell ref="O9:O10"/>
    <mergeCell ref="E2:M2"/>
    <mergeCell ref="E3:M3"/>
    <mergeCell ref="E4:M4"/>
    <mergeCell ref="E5:M5"/>
    <mergeCell ref="F9:F10"/>
    <mergeCell ref="E6:M6"/>
    <mergeCell ref="H9:H10"/>
    <mergeCell ref="I9:I10"/>
    <mergeCell ref="J9:J10"/>
  </mergeCells>
  <phoneticPr fontId="5" type="noConversion"/>
  <printOptions horizontalCentered="1" verticalCentered="1"/>
  <pageMargins left="0.19685039370078741" right="0.19685039370078741" top="0.19685039370078741" bottom="0.19685039370078741" header="0" footer="0"/>
  <pageSetup scale="70" orientation="landscape" horizontalDpi="300" verticalDpi="300" r:id="rId1"/>
  <headerFooter alignWithMargins="0">
    <oddFooter>&amp;RElaboro: Departamento de Planeacion Campeche</oddFooter>
  </headerFooter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Hoja10">
    <tabColor theme="8" tint="0.59999389629810485"/>
  </sheetPr>
  <dimension ref="A1:R81"/>
  <sheetViews>
    <sheetView topLeftCell="A55" zoomScaleNormal="100" zoomScaleSheetLayoutView="100" workbookViewId="0">
      <selection activeCell="B45" sqref="B45:N45"/>
    </sheetView>
  </sheetViews>
  <sheetFormatPr baseColWidth="10" defaultRowHeight="13.2" x14ac:dyDescent="0.25"/>
  <cols>
    <col min="1" max="1" width="16.88671875" bestFit="1" customWidth="1"/>
    <col min="2" max="16" width="15.6640625" customWidth="1"/>
  </cols>
  <sheetData>
    <row r="1" spans="1:16" x14ac:dyDescent="0.25">
      <c r="A1" s="361" t="s">
        <v>435</v>
      </c>
    </row>
    <row r="2" spans="1:16" x14ac:dyDescent="0.25">
      <c r="E2" s="94" t="s">
        <v>0</v>
      </c>
      <c r="F2" s="94"/>
      <c r="G2" s="94"/>
      <c r="H2" s="94"/>
      <c r="I2" s="94"/>
      <c r="J2" s="94"/>
      <c r="K2" s="94"/>
      <c r="L2" s="94"/>
      <c r="M2" s="94"/>
      <c r="N2" s="94"/>
      <c r="O2" s="20"/>
    </row>
    <row r="3" spans="1:16" x14ac:dyDescent="0.25">
      <c r="E3" s="94" t="s">
        <v>1</v>
      </c>
      <c r="F3" s="94"/>
      <c r="G3" s="94"/>
      <c r="H3" s="94"/>
      <c r="I3" s="94"/>
      <c r="J3" s="94"/>
      <c r="K3" s="94"/>
      <c r="L3" s="94"/>
      <c r="M3" s="94"/>
      <c r="N3" s="94"/>
      <c r="O3" s="20"/>
    </row>
    <row r="4" spans="1:16" x14ac:dyDescent="0.25">
      <c r="E4" s="94" t="s">
        <v>22</v>
      </c>
      <c r="F4" s="94"/>
      <c r="G4" s="94"/>
      <c r="H4" s="94"/>
      <c r="I4" s="94"/>
      <c r="J4" s="94"/>
      <c r="K4" s="94"/>
      <c r="L4" s="94"/>
      <c r="M4" s="94"/>
      <c r="N4" s="94"/>
      <c r="O4" s="20"/>
    </row>
    <row r="5" spans="1:16" x14ac:dyDescent="0.25">
      <c r="E5" s="94" t="s">
        <v>26</v>
      </c>
      <c r="F5" s="94"/>
      <c r="G5" s="94"/>
      <c r="H5" s="94"/>
      <c r="I5" s="94"/>
      <c r="J5" s="94"/>
      <c r="K5" s="94"/>
      <c r="L5" s="94"/>
      <c r="M5" s="94"/>
      <c r="N5" s="94"/>
      <c r="O5" s="20"/>
    </row>
    <row r="6" spans="1:16" x14ac:dyDescent="0.25">
      <c r="E6" s="94" t="s">
        <v>2</v>
      </c>
      <c r="F6" s="94"/>
      <c r="G6" s="94"/>
      <c r="H6" s="94"/>
      <c r="I6" s="94"/>
      <c r="J6" s="94"/>
      <c r="K6" s="94"/>
      <c r="L6" s="94"/>
      <c r="M6" s="94"/>
      <c r="N6" s="94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95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95" t="s">
        <v>4</v>
      </c>
      <c r="P9" s="95" t="s">
        <v>5</v>
      </c>
    </row>
    <row r="10" spans="1:16" ht="13.8" thickBot="1" x14ac:dyDescent="0.3">
      <c r="A10" s="96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96"/>
      <c r="P10" s="96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243</v>
      </c>
      <c r="B12" s="262"/>
      <c r="C12" s="262"/>
      <c r="D12" s="262"/>
      <c r="E12" s="262"/>
      <c r="F12" s="263"/>
      <c r="G12" s="264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2780.0500080000002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3">
        <f>MAX(B13:N13)</f>
        <v>2780.0500080000002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1220788.5499160001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1220788.5499160001</v>
      </c>
      <c r="P14" s="43">
        <f>SUM(B14:N14)/(COUNTIF(B14:N14,"&gt;0"))</f>
        <v>1220788.5499160001</v>
      </c>
    </row>
    <row r="15" spans="1:16" x14ac:dyDescent="0.25">
      <c r="A15" s="3" t="s">
        <v>16</v>
      </c>
      <c r="B15" s="37" t="e">
        <f t="shared" ref="B15:H15" si="0">+((B13/B17)^2-(B13^2))^(0.5)</f>
        <v>#DIV/0!</v>
      </c>
      <c r="C15" s="37" t="e">
        <f>+((C13/C17)^2-(C13^2))^(0.5)</f>
        <v>#DIV/0!</v>
      </c>
      <c r="D15" s="37" t="e">
        <f t="shared" si="0"/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359.77182106004062</v>
      </c>
      <c r="H15" s="37" t="e">
        <f t="shared" si="0"/>
        <v>#DIV/0!</v>
      </c>
      <c r="I15" s="37" t="e">
        <f t="shared" ref="I15:N15" si="1">+((I13/I17)^2-(I13^2))^(0.5)</f>
        <v>#DIV/0!</v>
      </c>
      <c r="J15" s="37" t="e">
        <f t="shared" si="1"/>
        <v>#DIV/0!</v>
      </c>
      <c r="K15" s="37" t="e">
        <f t="shared" si="1"/>
        <v>#DIV/0!</v>
      </c>
      <c r="L15" s="37" t="e">
        <f t="shared" si="1"/>
        <v>#DIV/0!</v>
      </c>
      <c r="M15" s="37" t="e">
        <f t="shared" si="1"/>
        <v>#DIV/0!</v>
      </c>
      <c r="N15" s="37" t="e">
        <f t="shared" si="1"/>
        <v>#DIV/0!</v>
      </c>
      <c r="O15" s="37"/>
      <c r="P15" s="4">
        <f>HLOOKUP(P13,B13:N15,3,FALSE)</f>
        <v>359.77182106004062</v>
      </c>
    </row>
    <row r="16" spans="1:16" x14ac:dyDescent="0.25">
      <c r="A16" s="3" t="s">
        <v>8</v>
      </c>
      <c r="B16" s="37">
        <f t="shared" ref="B16:H16" si="2">+B14/(24*B$8)</f>
        <v>0</v>
      </c>
      <c r="C16" s="37">
        <f>+C14/(24*C$8)</f>
        <v>0</v>
      </c>
      <c r="D16" s="37">
        <f t="shared" si="2"/>
        <v>0</v>
      </c>
      <c r="E16" s="37">
        <f t="shared" si="2"/>
        <v>0</v>
      </c>
      <c r="F16" s="37">
        <f t="shared" si="2"/>
        <v>0</v>
      </c>
      <c r="G16" s="37">
        <f t="shared" si="2"/>
        <v>1640.8448251559141</v>
      </c>
      <c r="H16" s="37">
        <f t="shared" si="2"/>
        <v>0</v>
      </c>
      <c r="I16" s="37">
        <f t="shared" ref="I16:N16" si="3">+I14/(24*I$8)</f>
        <v>0</v>
      </c>
      <c r="J16" s="37">
        <f t="shared" si="3"/>
        <v>0</v>
      </c>
      <c r="K16" s="37">
        <f t="shared" si="3"/>
        <v>0</v>
      </c>
      <c r="L16" s="37">
        <f t="shared" si="3"/>
        <v>0</v>
      </c>
      <c r="M16" s="37">
        <f t="shared" si="3"/>
        <v>0</v>
      </c>
      <c r="N16" s="37">
        <f t="shared" si="3"/>
        <v>0</v>
      </c>
      <c r="O16" s="6">
        <f>SUM(O14)/(24*O$8)</f>
        <v>139.35942350639272</v>
      </c>
      <c r="P16" s="4">
        <f>O14/(COUNTIF(B14:N14,"&gt;0")*720)</f>
        <v>1695.5396526611112</v>
      </c>
    </row>
    <row r="17" spans="1:16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0.99173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0.99173</v>
      </c>
    </row>
    <row r="18" spans="1:16" x14ac:dyDescent="0.25">
      <c r="A18" s="3" t="s">
        <v>17</v>
      </c>
      <c r="B18" s="37" t="e">
        <f t="shared" ref="B18:H18" si="4">+B16/B13</f>
        <v>#DIV/0!</v>
      </c>
      <c r="C18" s="37" t="e">
        <f>+C16/C13</f>
        <v>#DIV/0!</v>
      </c>
      <c r="D18" s="37" t="e">
        <f t="shared" si="4"/>
        <v>#DIV/0!</v>
      </c>
      <c r="E18" s="37" t="e">
        <f t="shared" si="4"/>
        <v>#DIV/0!</v>
      </c>
      <c r="F18" s="37" t="e">
        <f>+F16/F13</f>
        <v>#DIV/0!</v>
      </c>
      <c r="G18" s="37">
        <f t="shared" si="4"/>
        <v>0.59022133430483026</v>
      </c>
      <c r="H18" s="37" t="e">
        <f t="shared" si="4"/>
        <v>#DIV/0!</v>
      </c>
      <c r="I18" s="37" t="e">
        <f t="shared" ref="I18:N18" si="5">+I16/I13</f>
        <v>#DIV/0!</v>
      </c>
      <c r="J18" s="37" t="e">
        <f t="shared" si="5"/>
        <v>#DIV/0!</v>
      </c>
      <c r="K18" s="37" t="e">
        <f t="shared" si="5"/>
        <v>#DIV/0!</v>
      </c>
      <c r="L18" s="37" t="e">
        <f t="shared" si="5"/>
        <v>#DIV/0!</v>
      </c>
      <c r="M18" s="37" t="e">
        <f t="shared" si="5"/>
        <v>#DIV/0!</v>
      </c>
      <c r="N18" s="37" t="e">
        <f t="shared" si="5"/>
        <v>#DIV/0!</v>
      </c>
      <c r="O18" s="6"/>
      <c r="P18" s="4">
        <f>+P16/P13</f>
        <v>0.60989537878165789</v>
      </c>
    </row>
    <row r="19" spans="1:16" s="24" customFormat="1" x14ac:dyDescent="0.25">
      <c r="A19" s="271" t="s">
        <v>244</v>
      </c>
      <c r="B19" s="65"/>
      <c r="C19" s="65"/>
      <c r="D19" s="65"/>
      <c r="E19" s="65"/>
      <c r="F19" s="65"/>
      <c r="G19" s="66"/>
      <c r="H19" s="66"/>
      <c r="I19" s="66"/>
      <c r="J19" s="66"/>
      <c r="K19" s="50"/>
      <c r="L19" s="50"/>
      <c r="M19" s="50"/>
      <c r="N19" s="50"/>
      <c r="O19" s="50"/>
      <c r="P19" s="50"/>
    </row>
    <row r="20" spans="1:16" x14ac:dyDescent="0.25">
      <c r="A20" s="3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5820.4299309999997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7">
        <f>MAX(B20:N20)</f>
        <v>5820.4299309999997</v>
      </c>
    </row>
    <row r="21" spans="1:16" x14ac:dyDescent="0.25">
      <c r="A21" s="3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2698051.1587729999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2698051.1587729999</v>
      </c>
      <c r="P21" s="43">
        <f>SUM(B21:N21)/(COUNTIF(B21:N21,"&gt;0"))</f>
        <v>2698051.1587729999</v>
      </c>
    </row>
    <row r="22" spans="1:16" x14ac:dyDescent="0.25">
      <c r="A22" s="3" t="s">
        <v>16</v>
      </c>
      <c r="B22" s="37" t="e">
        <f t="shared" ref="B22:H22" si="6">+((B20/B24)^2-(B20^2))^(0.5)</f>
        <v>#DIV/0!</v>
      </c>
      <c r="C22" s="37" t="e">
        <f>+((C20/C24)^2-(C20^2))^(0.5)</f>
        <v>#DIV/0!</v>
      </c>
      <c r="D22" s="37" t="e">
        <f t="shared" si="6"/>
        <v>#DIV/0!</v>
      </c>
      <c r="E22" s="37" t="e">
        <f t="shared" si="6"/>
        <v>#DIV/0!</v>
      </c>
      <c r="F22" s="37" t="e">
        <f t="shared" si="6"/>
        <v>#DIV/0!</v>
      </c>
      <c r="G22" s="37">
        <f t="shared" si="6"/>
        <v>353.86179858431262</v>
      </c>
      <c r="H22" s="37" t="e">
        <f t="shared" si="6"/>
        <v>#DIV/0!</v>
      </c>
      <c r="I22" s="37" t="e">
        <f t="shared" ref="I22:N22" si="7">+((I20/I24)^2-(I20^2))^(0.5)</f>
        <v>#DIV/0!</v>
      </c>
      <c r="J22" s="37" t="e">
        <f t="shared" si="7"/>
        <v>#DIV/0!</v>
      </c>
      <c r="K22" s="37" t="e">
        <f t="shared" si="7"/>
        <v>#DIV/0!</v>
      </c>
      <c r="L22" s="37" t="e">
        <f t="shared" si="7"/>
        <v>#DIV/0!</v>
      </c>
      <c r="M22" s="37" t="e">
        <f t="shared" si="7"/>
        <v>#DIV/0!</v>
      </c>
      <c r="N22" s="37" t="e">
        <f t="shared" si="7"/>
        <v>#DIV/0!</v>
      </c>
      <c r="O22" s="37"/>
      <c r="P22" s="4">
        <f>HLOOKUP(P20,B20:N22,3,FALSE)</f>
        <v>353.86179858431262</v>
      </c>
    </row>
    <row r="23" spans="1:16" x14ac:dyDescent="0.25">
      <c r="A23" s="3" t="s">
        <v>8</v>
      </c>
      <c r="B23" s="37">
        <f>+B21/(24*B$8)</f>
        <v>0</v>
      </c>
      <c r="C23" s="37">
        <f>+C21/(24*C$8)</f>
        <v>0</v>
      </c>
      <c r="D23" s="37">
        <f t="shared" ref="D23:H23" si="8">+D21/(24*D$8)</f>
        <v>0</v>
      </c>
      <c r="E23" s="37">
        <f t="shared" si="8"/>
        <v>0</v>
      </c>
      <c r="F23" s="37">
        <f t="shared" si="8"/>
        <v>0</v>
      </c>
      <c r="G23" s="37">
        <f t="shared" si="8"/>
        <v>3626.412847813172</v>
      </c>
      <c r="H23" s="37">
        <f t="shared" si="8"/>
        <v>0</v>
      </c>
      <c r="I23" s="37">
        <f t="shared" ref="I23:N23" si="9">+I21/(24*I$8)</f>
        <v>0</v>
      </c>
      <c r="J23" s="37">
        <f t="shared" si="9"/>
        <v>0</v>
      </c>
      <c r="K23" s="37">
        <f t="shared" si="9"/>
        <v>0</v>
      </c>
      <c r="L23" s="37">
        <f t="shared" si="9"/>
        <v>0</v>
      </c>
      <c r="M23" s="37">
        <f t="shared" si="9"/>
        <v>0</v>
      </c>
      <c r="N23" s="37">
        <f t="shared" si="9"/>
        <v>0</v>
      </c>
      <c r="O23" s="6">
        <f>SUM(O21)/(24*O$8)</f>
        <v>307.99670762248854</v>
      </c>
      <c r="P23" s="4">
        <f>O21/(COUNTIF(B21:N21,"&gt;0")*720)</f>
        <v>3747.2932760736107</v>
      </c>
    </row>
    <row r="24" spans="1:16" x14ac:dyDescent="0.25">
      <c r="A24" s="3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0.99815699999999996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0.99815699999999996</v>
      </c>
    </row>
    <row r="25" spans="1:16" x14ac:dyDescent="0.25">
      <c r="A25" s="3" t="s">
        <v>17</v>
      </c>
      <c r="B25" s="37" t="e">
        <f t="shared" ref="B25:H25" si="10">+B23/B20</f>
        <v>#DIV/0!</v>
      </c>
      <c r="C25" s="37" t="e">
        <f>+C23/C20</f>
        <v>#DIV/0!</v>
      </c>
      <c r="D25" s="37" t="e">
        <f t="shared" si="10"/>
        <v>#DIV/0!</v>
      </c>
      <c r="E25" s="37" t="e">
        <f t="shared" si="10"/>
        <v>#DIV/0!</v>
      </c>
      <c r="F25" s="37" t="e">
        <f t="shared" si="10"/>
        <v>#DIV/0!</v>
      </c>
      <c r="G25" s="37">
        <f t="shared" si="10"/>
        <v>0.62304896559249934</v>
      </c>
      <c r="H25" s="37" t="e">
        <f t="shared" si="10"/>
        <v>#DIV/0!</v>
      </c>
      <c r="I25" s="37" t="e">
        <f t="shared" ref="I25:N25" si="11">+I23/I20</f>
        <v>#DIV/0!</v>
      </c>
      <c r="J25" s="37" t="e">
        <f t="shared" si="11"/>
        <v>#DIV/0!</v>
      </c>
      <c r="K25" s="37" t="e">
        <f t="shared" si="11"/>
        <v>#DIV/0!</v>
      </c>
      <c r="L25" s="37" t="e">
        <f t="shared" si="11"/>
        <v>#DIV/0!</v>
      </c>
      <c r="M25" s="37" t="e">
        <f t="shared" si="11"/>
        <v>#DIV/0!</v>
      </c>
      <c r="N25" s="37" t="e">
        <f t="shared" si="11"/>
        <v>#DIV/0!</v>
      </c>
      <c r="O25" s="6"/>
      <c r="P25" s="4">
        <f>+P23/P20</f>
        <v>0.64381726444558263</v>
      </c>
    </row>
    <row r="26" spans="1:16" s="24" customFormat="1" x14ac:dyDescent="0.25">
      <c r="A26" s="271" t="s">
        <v>245</v>
      </c>
      <c r="B26" s="65"/>
      <c r="C26" s="65"/>
      <c r="D26" s="65"/>
      <c r="E26" s="65"/>
      <c r="F26" s="65"/>
      <c r="G26" s="66"/>
      <c r="H26" s="66"/>
      <c r="I26" s="66"/>
      <c r="J26" s="66"/>
      <c r="K26" s="50"/>
      <c r="L26" s="50"/>
      <c r="M26" s="50"/>
      <c r="N26" s="50"/>
      <c r="O26" s="50"/>
      <c r="P26" s="50"/>
    </row>
    <row r="27" spans="1:16" x14ac:dyDescent="0.25">
      <c r="A27" s="3" t="s">
        <v>6</v>
      </c>
      <c r="B27" s="381">
        <f>VLOOKUP($A$26,TABLA_1[],5,FALSE)</f>
        <v>0</v>
      </c>
      <c r="C27" s="381">
        <f>VLOOKUP($A$26,TABLA_2[],5,FALSE)</f>
        <v>0</v>
      </c>
      <c r="D27" s="381">
        <f>VLOOKUP($A$26,TABLA_3[],5,FALSE)</f>
        <v>0</v>
      </c>
      <c r="E27" s="381">
        <f>VLOOKUP($A$26,TABLA_4[],5,FALSE)</f>
        <v>0</v>
      </c>
      <c r="F27" s="381">
        <f>VLOOKUP($A$26,TABLA_5[],5,FALSE)</f>
        <v>0</v>
      </c>
      <c r="G27" s="381">
        <f>VLOOKUP($A$26,TABLA_6[],5,FALSE)</f>
        <v>6560.779947</v>
      </c>
      <c r="H27" s="381">
        <f>VLOOKUP($A$26,TABLA_7[],5,FALSE)</f>
        <v>0</v>
      </c>
      <c r="I27" s="381">
        <f>VLOOKUP($A$26,TABLA_8[],5,FALSE)</f>
        <v>0</v>
      </c>
      <c r="J27" s="381">
        <f>VLOOKUP($A$26,TABLA_9[],5,FALSE)</f>
        <v>0</v>
      </c>
      <c r="K27" s="381">
        <f>VLOOKUP($A$26,TABLA_10[],5,FALSE)</f>
        <v>0</v>
      </c>
      <c r="L27" s="381">
        <f>VLOOKUP($A$26,TABLA_11[],5,FALSE)</f>
        <v>0</v>
      </c>
      <c r="M27" s="381">
        <f>VLOOKUP($A$26,TABLA_12[],5,FALSE)</f>
        <v>0</v>
      </c>
      <c r="N27" s="381">
        <f>VLOOKUP($A$26,TABLA_13[],5,FALSE)</f>
        <v>0</v>
      </c>
      <c r="O27" s="6"/>
      <c r="P27" s="47">
        <f>MAX(B27:N27)</f>
        <v>6560.779947</v>
      </c>
    </row>
    <row r="28" spans="1:16" x14ac:dyDescent="0.25">
      <c r="A28" s="3" t="s">
        <v>7</v>
      </c>
      <c r="B28" s="382">
        <f>VLOOKUP($A$26,TABLA_1[],8,FALSE)</f>
        <v>0</v>
      </c>
      <c r="C28" s="382">
        <f>VLOOKUP($A$26,TABLA_2[],8,FALSE)</f>
        <v>0</v>
      </c>
      <c r="D28" s="382">
        <f>VLOOKUP($A$26,TABLA_3[],8,FALSE)</f>
        <v>0</v>
      </c>
      <c r="E28" s="382">
        <f>VLOOKUP($A$26,TABLA_4[],8,FALSE)</f>
        <v>0</v>
      </c>
      <c r="F28" s="382">
        <f>VLOOKUP($A$26,TABLA_5[],8,FALSE)</f>
        <v>0</v>
      </c>
      <c r="G28" s="382">
        <f>VLOOKUP($A$26,TABLA_6[],8,FALSE)</f>
        <v>3091230.0569159999</v>
      </c>
      <c r="H28" s="382">
        <f>VLOOKUP($A$26,TABLA_7[],8,FALSE)</f>
        <v>0</v>
      </c>
      <c r="I28" s="382">
        <f>VLOOKUP($A$26,TABLA_8[],8,FALSE)</f>
        <v>0</v>
      </c>
      <c r="J28" s="382">
        <f>VLOOKUP($A$26,TABLA_9[],8,FALSE)</f>
        <v>0</v>
      </c>
      <c r="K28" s="382">
        <f>VLOOKUP($A$26,TABLA_10[],8,FALSE)</f>
        <v>0</v>
      </c>
      <c r="L28" s="382">
        <f>VLOOKUP($A$26,TABLA_11[],8,FALSE)</f>
        <v>0</v>
      </c>
      <c r="M28" s="382">
        <f>VLOOKUP($A$26,TABLA_12[],8,FALSE)</f>
        <v>0</v>
      </c>
      <c r="N28" s="382">
        <f>VLOOKUP($A$26,TABLA_13[],8,FALSE)</f>
        <v>0</v>
      </c>
      <c r="O28" s="47">
        <f>SUM(B28:N28)</f>
        <v>3091230.0569159999</v>
      </c>
      <c r="P28" s="43">
        <f>SUM(B28:N28)/(COUNTIF(B28:N28,"&gt;0"))</f>
        <v>3091230.0569159999</v>
      </c>
    </row>
    <row r="29" spans="1:16" x14ac:dyDescent="0.25">
      <c r="A29" s="3" t="s">
        <v>16</v>
      </c>
      <c r="B29" s="37" t="e">
        <f t="shared" ref="B29:H29" si="12">+((B27/B31)^2-(B27^2))^(0.5)</f>
        <v>#DIV/0!</v>
      </c>
      <c r="C29" s="37" t="e">
        <f>+((C27/C31)^2-(C27^2))^(0.5)</f>
        <v>#DIV/0!</v>
      </c>
      <c r="D29" s="37" t="e">
        <f t="shared" si="12"/>
        <v>#DIV/0!</v>
      </c>
      <c r="E29" s="37" t="e">
        <f t="shared" si="12"/>
        <v>#DIV/0!</v>
      </c>
      <c r="F29" s="37" t="e">
        <f t="shared" si="12"/>
        <v>#DIV/0!</v>
      </c>
      <c r="G29" s="37">
        <f t="shared" si="12"/>
        <v>1193.2823816927878</v>
      </c>
      <c r="H29" s="37" t="e">
        <f t="shared" si="12"/>
        <v>#DIV/0!</v>
      </c>
      <c r="I29" s="37" t="e">
        <f t="shared" ref="I29:N29" si="13">+((I27/I31)^2-(I27^2))^(0.5)</f>
        <v>#DIV/0!</v>
      </c>
      <c r="J29" s="37" t="e">
        <f t="shared" si="13"/>
        <v>#DIV/0!</v>
      </c>
      <c r="K29" s="37" t="e">
        <f t="shared" si="13"/>
        <v>#DIV/0!</v>
      </c>
      <c r="L29" s="37" t="e">
        <f t="shared" si="13"/>
        <v>#DIV/0!</v>
      </c>
      <c r="M29" s="37">
        <f t="shared" si="13"/>
        <v>0</v>
      </c>
      <c r="N29" s="37">
        <f t="shared" si="13"/>
        <v>0</v>
      </c>
      <c r="O29" s="37"/>
      <c r="P29" s="4">
        <f>HLOOKUP(P27,B27:N29,3,FALSE)</f>
        <v>1193.2823816927878</v>
      </c>
    </row>
    <row r="30" spans="1:16" x14ac:dyDescent="0.25">
      <c r="A30" s="3" t="s">
        <v>8</v>
      </c>
      <c r="B30" s="176">
        <f>+B28/(24*B$8)</f>
        <v>0</v>
      </c>
      <c r="C30" s="176">
        <f>+C28/(24*C$8)</f>
        <v>0</v>
      </c>
      <c r="D30" s="176">
        <f t="shared" ref="D30:N30" si="14">+D28/(24*D$8)</f>
        <v>0</v>
      </c>
      <c r="E30" s="176">
        <f t="shared" si="14"/>
        <v>0</v>
      </c>
      <c r="F30" s="176">
        <f t="shared" si="14"/>
        <v>0</v>
      </c>
      <c r="G30" s="176">
        <f t="shared" si="14"/>
        <v>4154.8791087580639</v>
      </c>
      <c r="H30" s="176">
        <f t="shared" si="14"/>
        <v>0</v>
      </c>
      <c r="I30" s="176">
        <f t="shared" si="14"/>
        <v>0</v>
      </c>
      <c r="J30" s="176">
        <f t="shared" si="14"/>
        <v>0</v>
      </c>
      <c r="K30" s="176">
        <f t="shared" si="14"/>
        <v>0</v>
      </c>
      <c r="L30" s="176">
        <f t="shared" si="14"/>
        <v>0</v>
      </c>
      <c r="M30" s="176">
        <f t="shared" si="14"/>
        <v>0</v>
      </c>
      <c r="N30" s="176">
        <f t="shared" si="14"/>
        <v>0</v>
      </c>
      <c r="O30" s="6">
        <f>SUM(O28)/(24*O$8)</f>
        <v>352.88014348356165</v>
      </c>
      <c r="P30" s="4">
        <f>O28/(COUNTIF(B28:N28,"&gt;0")*720)</f>
        <v>4293.3750790499998</v>
      </c>
    </row>
    <row r="31" spans="1:16" x14ac:dyDescent="0.25">
      <c r="A31" s="3" t="s">
        <v>9</v>
      </c>
      <c r="B31" s="383">
        <f>VLOOKUP($A$26,TABLA_1[],10,FALSE)</f>
        <v>0</v>
      </c>
      <c r="C31" s="383">
        <f>VLOOKUP($A$26,TABLA_2[],10,FALSE)</f>
        <v>0</v>
      </c>
      <c r="D31" s="383">
        <f>VLOOKUP($A$26,TABLA_3[],10,FALSE)</f>
        <v>0</v>
      </c>
      <c r="E31" s="383">
        <f>VLOOKUP($A$26,TABLA_4[],10,FALSE)</f>
        <v>0</v>
      </c>
      <c r="F31" s="383">
        <f>VLOOKUP($A$26,TABLA_5[],10,FALSE)</f>
        <v>0</v>
      </c>
      <c r="G31" s="383">
        <f>VLOOKUP($A$26,TABLA_6[],10,FALSE)</f>
        <v>0.98385900000000004</v>
      </c>
      <c r="H31" s="383">
        <f>VLOOKUP($A$26,TABLA_7[],10,FALSE)</f>
        <v>0</v>
      </c>
      <c r="I31" s="383">
        <f>VLOOKUP($A$26,TABLA_8[],10,FALSE)</f>
        <v>0</v>
      </c>
      <c r="J31" s="383">
        <f>VLOOKUP($A$26,TABLA_9[],10,FALSE)</f>
        <v>0</v>
      </c>
      <c r="K31" s="383">
        <f>VLOOKUP($A$26,TABLA_10[],10,FALSE)</f>
        <v>0</v>
      </c>
      <c r="L31" s="383">
        <f>VLOOKUP($A$26,TABLA_11[],10,FALSE)</f>
        <v>0</v>
      </c>
      <c r="M31" s="383">
        <f>VLOOKUP($A$26,TABLA_6[],10,FALSE)</f>
        <v>0.98385900000000004</v>
      </c>
      <c r="N31" s="383">
        <f>VLOOKUP($A$26,TABLA_6[],10,FALSE)</f>
        <v>0.98385900000000004</v>
      </c>
      <c r="O31" s="6"/>
      <c r="P31" s="4">
        <f>COS(ATAN(P29/P27))</f>
        <v>0.98385899999999993</v>
      </c>
    </row>
    <row r="32" spans="1:16" x14ac:dyDescent="0.25">
      <c r="A32" s="3" t="s">
        <v>17</v>
      </c>
      <c r="B32" s="37" t="e">
        <f t="shared" ref="B32:H32" si="15">+B30/B27</f>
        <v>#DIV/0!</v>
      </c>
      <c r="C32" s="37" t="e">
        <f>+C30/C27</f>
        <v>#DIV/0!</v>
      </c>
      <c r="D32" s="37" t="e">
        <f t="shared" si="15"/>
        <v>#DIV/0!</v>
      </c>
      <c r="E32" s="37" t="e">
        <f t="shared" si="15"/>
        <v>#DIV/0!</v>
      </c>
      <c r="F32" s="37" t="e">
        <f t="shared" si="15"/>
        <v>#DIV/0!</v>
      </c>
      <c r="G32" s="37">
        <f>+G30/G27</f>
        <v>0.63329042313908657</v>
      </c>
      <c r="H32" s="37" t="e">
        <f t="shared" si="15"/>
        <v>#DIV/0!</v>
      </c>
      <c r="I32" s="37" t="e">
        <f t="shared" ref="I32:N32" si="16">+I30/I27</f>
        <v>#DIV/0!</v>
      </c>
      <c r="J32" s="37" t="e">
        <f t="shared" si="16"/>
        <v>#DIV/0!</v>
      </c>
      <c r="K32" s="37" t="e">
        <f t="shared" si="16"/>
        <v>#DIV/0!</v>
      </c>
      <c r="L32" s="37" t="e">
        <f t="shared" si="16"/>
        <v>#DIV/0!</v>
      </c>
      <c r="M32" s="37" t="e">
        <f t="shared" si="16"/>
        <v>#DIV/0!</v>
      </c>
      <c r="N32" s="37" t="e">
        <f t="shared" si="16"/>
        <v>#DIV/0!</v>
      </c>
      <c r="O32" s="6"/>
      <c r="P32" s="4">
        <f>+P30/P27</f>
        <v>0.6544001039103895</v>
      </c>
    </row>
    <row r="33" spans="1:16" s="24" customFormat="1" x14ac:dyDescent="0.25">
      <c r="A33" s="271" t="s">
        <v>246</v>
      </c>
      <c r="B33" s="262"/>
      <c r="C33" s="262"/>
      <c r="D33" s="262"/>
      <c r="E33" s="262"/>
      <c r="F33" s="65"/>
      <c r="G33" s="66"/>
      <c r="H33" s="66"/>
      <c r="I33" s="66"/>
      <c r="J33" s="66"/>
      <c r="K33" s="50"/>
      <c r="L33" s="50"/>
      <c r="M33" s="50"/>
      <c r="N33" s="50"/>
      <c r="O33" s="50"/>
      <c r="P33" s="50"/>
    </row>
    <row r="34" spans="1:16" x14ac:dyDescent="0.25">
      <c r="A34" s="3" t="s">
        <v>6</v>
      </c>
      <c r="B34" s="380">
        <f>VLOOKUP($A$33,TABLA_1[],5,FALSE)</f>
        <v>0</v>
      </c>
      <c r="C34" s="380">
        <f>VLOOKUP($A$33,TABLA_2[],5,FALSE)</f>
        <v>0</v>
      </c>
      <c r="D34" s="380">
        <f>VLOOKUP($A$33,TABLA_3[],5,FALSE)</f>
        <v>0</v>
      </c>
      <c r="E34" s="380">
        <f>VLOOKUP($A$33,TABLA_4[],5,FALSE)</f>
        <v>0</v>
      </c>
      <c r="F34" s="380">
        <f>VLOOKUP($A$33,TABLA_5[],5,FALSE)</f>
        <v>0</v>
      </c>
      <c r="G34" s="380">
        <f>VLOOKUP($A$33,TABLA_6[],5,FALSE)</f>
        <v>5133.3416340000003</v>
      </c>
      <c r="H34" s="380">
        <f>VLOOKUP($A$33,TABLA_7[],5,FALSE)</f>
        <v>0</v>
      </c>
      <c r="I34" s="380">
        <f>VLOOKUP($A$33,TABLA_8[],5,FALSE)</f>
        <v>0</v>
      </c>
      <c r="J34" s="380">
        <f>VLOOKUP($A$33,TABLA_9[],5,FALSE)</f>
        <v>0</v>
      </c>
      <c r="K34" s="380">
        <f>VLOOKUP($A$33,TABLA_10[],5,FALSE)</f>
        <v>0</v>
      </c>
      <c r="L34" s="380">
        <f>VLOOKUP($A$33,TABLA_11[],5,FALSE)</f>
        <v>0</v>
      </c>
      <c r="M34" s="380">
        <f>VLOOKUP($A$33,TABLA_12[],5,FALSE)</f>
        <v>0</v>
      </c>
      <c r="N34" s="380">
        <f>VLOOKUP($A$33,TABLA_13[],5,FALSE)</f>
        <v>0</v>
      </c>
      <c r="O34" s="6"/>
      <c r="P34" s="43">
        <f>MAX(B34:N34)</f>
        <v>5133.3416340000003</v>
      </c>
    </row>
    <row r="35" spans="1:16" x14ac:dyDescent="0.25">
      <c r="A35" s="3" t="s">
        <v>7</v>
      </c>
      <c r="B35" s="380">
        <f>VLOOKUP($A$33,TABLA_1[],8,FALSE)</f>
        <v>0</v>
      </c>
      <c r="C35" s="380">
        <f>VLOOKUP($A$33,TABLA_2[],8,FALSE)</f>
        <v>0</v>
      </c>
      <c r="D35" s="380">
        <f>VLOOKUP($A$33,TABLA_3[],8,FALSE)</f>
        <v>0</v>
      </c>
      <c r="E35" s="380">
        <f>VLOOKUP($A$33,TABLA_4[],8,FALSE)</f>
        <v>0</v>
      </c>
      <c r="F35" s="380">
        <f>VLOOKUP($A$33,TABLA_5[],8,FALSE)</f>
        <v>0</v>
      </c>
      <c r="G35" s="380">
        <f>VLOOKUP($A$33,TABLA_6[],8,FALSE)</f>
        <v>2269570.4518639999</v>
      </c>
      <c r="H35" s="380">
        <f>VLOOKUP($A$33,TABLA_7[],8,FALSE)</f>
        <v>0</v>
      </c>
      <c r="I35" s="380">
        <f>VLOOKUP($A$33,TABLA_8[],8,FALSE)</f>
        <v>0</v>
      </c>
      <c r="J35" s="380">
        <f>VLOOKUP($A$33,TABLA_9[],8,FALSE)</f>
        <v>0</v>
      </c>
      <c r="K35" s="380">
        <f>VLOOKUP($A$33,TABLA_10[],8,FALSE)</f>
        <v>0</v>
      </c>
      <c r="L35" s="380">
        <f>VLOOKUP($A$33,TABLA_11[],8,FALSE)</f>
        <v>0</v>
      </c>
      <c r="M35" s="380">
        <f>VLOOKUP($A$33,TABLA_12[],8,FALSE)</f>
        <v>0</v>
      </c>
      <c r="N35" s="380">
        <f>VLOOKUP($A$33,TABLA_13[],8,FALSE)</f>
        <v>0</v>
      </c>
      <c r="O35" s="47">
        <f>SUM(B35:N35)</f>
        <v>2269570.4518639999</v>
      </c>
      <c r="P35" s="43">
        <f>SUM(B35:N35)/(COUNTIF(B35:N35,"&gt;0"))</f>
        <v>2269570.4518639999</v>
      </c>
    </row>
    <row r="36" spans="1:16" x14ac:dyDescent="0.25">
      <c r="A36" s="3" t="s">
        <v>16</v>
      </c>
      <c r="B36" s="37" t="e">
        <f t="shared" ref="B36:H36" si="17">+((B34/B38)^2-(B34^2))^(0.5)</f>
        <v>#DIV/0!</v>
      </c>
      <c r="C36" s="37" t="e">
        <f>+((C34/C38)^2-(C34^2))^(0.5)</f>
        <v>#DIV/0!</v>
      </c>
      <c r="D36" s="37" t="e">
        <f t="shared" si="17"/>
        <v>#DIV/0!</v>
      </c>
      <c r="E36" s="37" t="e">
        <f t="shared" si="17"/>
        <v>#DIV/0!</v>
      </c>
      <c r="F36" s="37" t="e">
        <f t="shared" si="17"/>
        <v>#DIV/0!</v>
      </c>
      <c r="G36" s="37">
        <f t="shared" si="17"/>
        <v>729.82620935735429</v>
      </c>
      <c r="H36" s="37" t="e">
        <f t="shared" si="17"/>
        <v>#DIV/0!</v>
      </c>
      <c r="I36" s="37" t="e">
        <f t="shared" ref="I36:N36" si="18">+((I34/I38)^2-(I34^2))^(0.5)</f>
        <v>#DIV/0!</v>
      </c>
      <c r="J36" s="37" t="e">
        <f t="shared" si="18"/>
        <v>#DIV/0!</v>
      </c>
      <c r="K36" s="37" t="e">
        <f t="shared" si="18"/>
        <v>#DIV/0!</v>
      </c>
      <c r="L36" s="37" t="e">
        <f t="shared" si="18"/>
        <v>#DIV/0!</v>
      </c>
      <c r="M36" s="37" t="e">
        <f t="shared" si="18"/>
        <v>#DIV/0!</v>
      </c>
      <c r="N36" s="37" t="e">
        <f t="shared" si="18"/>
        <v>#DIV/0!</v>
      </c>
      <c r="O36" s="37"/>
      <c r="P36" s="4">
        <f>HLOOKUP(P34,B34:N36,3,FALSE)</f>
        <v>729.82620935735429</v>
      </c>
    </row>
    <row r="37" spans="1:16" x14ac:dyDescent="0.25">
      <c r="A37" s="3" t="s">
        <v>8</v>
      </c>
      <c r="B37" s="37">
        <f>+B35/(24*B$8)</f>
        <v>0</v>
      </c>
      <c r="C37" s="37">
        <f>+C35/(24*C$8)</f>
        <v>0</v>
      </c>
      <c r="D37" s="37">
        <f t="shared" ref="D37:H37" si="19">+D35/(24*D$8)</f>
        <v>0</v>
      </c>
      <c r="E37" s="37">
        <f t="shared" si="19"/>
        <v>0</v>
      </c>
      <c r="F37" s="37">
        <f t="shared" si="19"/>
        <v>0</v>
      </c>
      <c r="G37" s="37">
        <f t="shared" si="19"/>
        <v>3050.4979191720431</v>
      </c>
      <c r="H37" s="37">
        <f t="shared" si="19"/>
        <v>0</v>
      </c>
      <c r="I37" s="37">
        <f t="shared" ref="I37:N37" si="20">+I35/(24*I$8)</f>
        <v>0</v>
      </c>
      <c r="J37" s="37">
        <f t="shared" si="20"/>
        <v>0</v>
      </c>
      <c r="K37" s="37">
        <f t="shared" si="20"/>
        <v>0</v>
      </c>
      <c r="L37" s="37">
        <f t="shared" si="20"/>
        <v>0</v>
      </c>
      <c r="M37" s="37">
        <f t="shared" si="20"/>
        <v>0</v>
      </c>
      <c r="N37" s="37">
        <f t="shared" si="20"/>
        <v>0</v>
      </c>
      <c r="O37" s="6">
        <f>SUM(O35)/(24*O$8)</f>
        <v>259.08338491598175</v>
      </c>
      <c r="P37" s="4">
        <f>O35/(COUNTIF(B35:N35,"&gt;0")*720)</f>
        <v>3152.1811831444443</v>
      </c>
    </row>
    <row r="38" spans="1:16" x14ac:dyDescent="0.25">
      <c r="A38" s="3" t="s">
        <v>9</v>
      </c>
      <c r="B38" s="380">
        <f>VLOOKUP($A$33,TABLA_1[],10,FALSE)</f>
        <v>0</v>
      </c>
      <c r="C38" s="380">
        <f>VLOOKUP($A$33,TABLA_2[],10,FALSE)</f>
        <v>0</v>
      </c>
      <c r="D38" s="380">
        <f>VLOOKUP($A$33,TABLA_3[],10,FALSE)</f>
        <v>0</v>
      </c>
      <c r="E38" s="380">
        <f>VLOOKUP($A$33,TABLA_4[],10,FALSE)</f>
        <v>0</v>
      </c>
      <c r="F38" s="380">
        <f>VLOOKUP($A$33,TABLA_5[],10,FALSE)</f>
        <v>0</v>
      </c>
      <c r="G38" s="380">
        <f>VLOOKUP($A$33,TABLA_6[],10,FALSE)</f>
        <v>0.99004400000000004</v>
      </c>
      <c r="H38" s="380">
        <f>VLOOKUP($A$33,TABLA_7[],10,FALSE)</f>
        <v>0</v>
      </c>
      <c r="I38" s="380">
        <f>VLOOKUP($A$33,TABLA_8[],10,FALSE)</f>
        <v>0</v>
      </c>
      <c r="J38" s="380">
        <f>VLOOKUP($A$33,TABLA_9[],10,FALSE)</f>
        <v>0</v>
      </c>
      <c r="K38" s="380">
        <f>VLOOKUP($A$33,TABLA_10[],10,FALSE)</f>
        <v>0</v>
      </c>
      <c r="L38" s="380">
        <f>VLOOKUP($A$33,TABLA_11[],10,FALSE)</f>
        <v>0</v>
      </c>
      <c r="M38" s="380">
        <f>VLOOKUP($A$33,TABLA_12[],10,FALSE)</f>
        <v>0</v>
      </c>
      <c r="N38" s="380">
        <f>VLOOKUP($A$33,TABLA_13[],10,FALSE)</f>
        <v>0</v>
      </c>
      <c r="O38" s="6"/>
      <c r="P38" s="4">
        <f>COS(ATAN(P36/P34))</f>
        <v>0.99004400000000004</v>
      </c>
    </row>
    <row r="39" spans="1:16" x14ac:dyDescent="0.25">
      <c r="A39" s="3" t="s">
        <v>17</v>
      </c>
      <c r="B39" s="37" t="e">
        <f t="shared" ref="B39:H39" si="21">+B37/B34</f>
        <v>#DIV/0!</v>
      </c>
      <c r="C39" s="37" t="e">
        <f>+C37/C34</f>
        <v>#DIV/0!</v>
      </c>
      <c r="D39" s="37" t="e">
        <f>+D37/D34</f>
        <v>#DIV/0!</v>
      </c>
      <c r="E39" s="37" t="e">
        <f>+E37/E34</f>
        <v>#DIV/0!</v>
      </c>
      <c r="F39" s="37" t="e">
        <f t="shared" si="21"/>
        <v>#DIV/0!</v>
      </c>
      <c r="G39" s="37">
        <f t="shared" si="21"/>
        <v>0.5942518804841429</v>
      </c>
      <c r="H39" s="37" t="e">
        <f t="shared" si="21"/>
        <v>#DIV/0!</v>
      </c>
      <c r="I39" s="37" t="e">
        <f t="shared" ref="I39:N39" si="22">+I37/I34</f>
        <v>#DIV/0!</v>
      </c>
      <c r="J39" s="37" t="e">
        <f t="shared" si="22"/>
        <v>#DIV/0!</v>
      </c>
      <c r="K39" s="37" t="e">
        <f t="shared" si="22"/>
        <v>#DIV/0!</v>
      </c>
      <c r="L39" s="37" t="e">
        <f t="shared" si="22"/>
        <v>#DIV/0!</v>
      </c>
      <c r="M39" s="37" t="e">
        <f t="shared" si="22"/>
        <v>#DIV/0!</v>
      </c>
      <c r="N39" s="37" t="e">
        <f t="shared" si="22"/>
        <v>#DIV/0!</v>
      </c>
      <c r="O39" s="6"/>
      <c r="P39" s="4">
        <f>+P37/P34</f>
        <v>0.61406027650028094</v>
      </c>
    </row>
    <row r="40" spans="1:16" s="24" customFormat="1" x14ac:dyDescent="0.25">
      <c r="A40" s="271" t="s">
        <v>247</v>
      </c>
      <c r="B40" s="262"/>
      <c r="C40" s="262"/>
      <c r="D40" s="262"/>
      <c r="E40" s="262"/>
      <c r="F40" s="65"/>
      <c r="G40" s="66"/>
      <c r="H40" s="66"/>
      <c r="I40" s="66"/>
      <c r="J40" s="66"/>
      <c r="K40" s="50"/>
      <c r="L40" s="50"/>
      <c r="M40" s="50"/>
      <c r="N40" s="50"/>
      <c r="O40" s="50"/>
      <c r="P40" s="50"/>
    </row>
    <row r="41" spans="1:16" x14ac:dyDescent="0.25">
      <c r="A41" s="3" t="s">
        <v>6</v>
      </c>
      <c r="B41" s="380">
        <f>VLOOKUP($A$40,TABLA_1[],5,FALSE)</f>
        <v>0</v>
      </c>
      <c r="C41" s="380">
        <f>VLOOKUP($A$40,TABLA_2[],5,FALSE)</f>
        <v>0</v>
      </c>
      <c r="D41" s="380">
        <f>VLOOKUP($A$40,TABLA_3[],5,FALSE)</f>
        <v>0</v>
      </c>
      <c r="E41" s="380">
        <f>VLOOKUP($A$40,TABLA_4[],5,FALSE)</f>
        <v>0</v>
      </c>
      <c r="F41" s="380">
        <f>VLOOKUP($A$40,TABLA_5[],5,FALSE)</f>
        <v>0</v>
      </c>
      <c r="G41" s="380">
        <f>VLOOKUP($A$40,TABLA_6[],5,FALSE)</f>
        <v>2853.6151249999998</v>
      </c>
      <c r="H41" s="380">
        <f>VLOOKUP($A$40,TABLA_7[],5,FALSE)</f>
        <v>0</v>
      </c>
      <c r="I41" s="380">
        <f>VLOOKUP($A$40,TABLA_8[],5,FALSE)</f>
        <v>0</v>
      </c>
      <c r="J41" s="380">
        <f>VLOOKUP($A$40,TABLA_9[],5,FALSE)</f>
        <v>0</v>
      </c>
      <c r="K41" s="380">
        <f>VLOOKUP($A$40,TABLA_10[],5,FALSE)</f>
        <v>0</v>
      </c>
      <c r="L41" s="380">
        <f>VLOOKUP($A$40,TABLA_11[],5,FALSE)</f>
        <v>0</v>
      </c>
      <c r="M41" s="380">
        <f>VLOOKUP($A$40,TABLA_12[],5,FALSE)</f>
        <v>0</v>
      </c>
      <c r="N41" s="380">
        <f>VLOOKUP($A$40,TABLA_13[],5,FALSE)</f>
        <v>0</v>
      </c>
      <c r="O41" s="6"/>
      <c r="P41" s="43">
        <f>MAX(B41:N41)</f>
        <v>2853.6151249999998</v>
      </c>
    </row>
    <row r="42" spans="1:16" x14ac:dyDescent="0.25">
      <c r="A42" s="3" t="s">
        <v>7</v>
      </c>
      <c r="B42" s="380">
        <f>VLOOKUP($A$40,TABLA_1[],8,FALSE)</f>
        <v>0</v>
      </c>
      <c r="C42" s="380">
        <f>VLOOKUP($A$40,TABLA_2[],8,FALSE)</f>
        <v>0</v>
      </c>
      <c r="D42" s="380">
        <f>VLOOKUP($A$40,TABLA_3[],8,FALSE)</f>
        <v>0</v>
      </c>
      <c r="E42" s="380">
        <f>VLOOKUP($A$40,TABLA_4[],8,FALSE)</f>
        <v>0</v>
      </c>
      <c r="F42" s="380">
        <f>VLOOKUP($A$40,TABLA_5[],8,FALSE)</f>
        <v>0</v>
      </c>
      <c r="G42" s="380">
        <f>VLOOKUP($A$40,TABLA_6[],8,FALSE)</f>
        <v>1548786.513913</v>
      </c>
      <c r="H42" s="380">
        <f>VLOOKUP($A$40,TABLA_7[],8,FALSE)</f>
        <v>0</v>
      </c>
      <c r="I42" s="380">
        <f>VLOOKUP($A$40,TABLA_8[],8,FALSE)</f>
        <v>0</v>
      </c>
      <c r="J42" s="380">
        <f>VLOOKUP($A$40,TABLA_9[],8,FALSE)</f>
        <v>0</v>
      </c>
      <c r="K42" s="380">
        <f>VLOOKUP($A$40,TABLA_10[],8,FALSE)</f>
        <v>0</v>
      </c>
      <c r="L42" s="380">
        <f>VLOOKUP($A$40,TABLA_11[],8,FALSE)</f>
        <v>0</v>
      </c>
      <c r="M42" s="380">
        <f>VLOOKUP($A$40,TABLA_12[],8,FALSE)</f>
        <v>0</v>
      </c>
      <c r="N42" s="380">
        <f>VLOOKUP($A$40,TABLA_13[],8,FALSE)</f>
        <v>0</v>
      </c>
      <c r="O42" s="47">
        <f>SUM(B42:N42)</f>
        <v>1548786.513913</v>
      </c>
      <c r="P42" s="43">
        <f>SUM(B42:N42)/(COUNTIF(B42:N42,"&gt;0"))</f>
        <v>1548786.513913</v>
      </c>
    </row>
    <row r="43" spans="1:16" x14ac:dyDescent="0.25">
      <c r="A43" s="3" t="s">
        <v>16</v>
      </c>
      <c r="B43" s="37" t="e">
        <f t="shared" ref="B43:H43" si="23">+((B41/B45)^2-(B41^2))^(0.5)</f>
        <v>#DIV/0!</v>
      </c>
      <c r="C43" s="37" t="e">
        <f>+((C41/C45)^2-(C41^2))^(0.5)</f>
        <v>#DIV/0!</v>
      </c>
      <c r="D43" s="37" t="e">
        <f t="shared" si="23"/>
        <v>#DIV/0!</v>
      </c>
      <c r="E43" s="37" t="e">
        <f t="shared" si="23"/>
        <v>#DIV/0!</v>
      </c>
      <c r="F43" s="37" t="e">
        <f t="shared" si="23"/>
        <v>#DIV/0!</v>
      </c>
      <c r="G43" s="37">
        <f t="shared" si="23"/>
        <v>257.83239682341025</v>
      </c>
      <c r="H43" s="37" t="e">
        <f t="shared" si="23"/>
        <v>#DIV/0!</v>
      </c>
      <c r="I43" s="37" t="e">
        <f t="shared" ref="I43:N43" si="24">+((I41/I45)^2-(I41^2))^(0.5)</f>
        <v>#DIV/0!</v>
      </c>
      <c r="J43" s="37" t="e">
        <f t="shared" si="24"/>
        <v>#DIV/0!</v>
      </c>
      <c r="K43" s="37" t="e">
        <f t="shared" si="24"/>
        <v>#DIV/0!</v>
      </c>
      <c r="L43" s="37" t="e">
        <f t="shared" si="24"/>
        <v>#DIV/0!</v>
      </c>
      <c r="M43" s="37" t="e">
        <f>+((M41/M45)^2-(M41^2))^(0.5)</f>
        <v>#DIV/0!</v>
      </c>
      <c r="N43" s="37" t="e">
        <f t="shared" si="24"/>
        <v>#DIV/0!</v>
      </c>
      <c r="O43" s="37"/>
      <c r="P43" s="4">
        <f>HLOOKUP(P41,B41:N43,3,FALSE)</f>
        <v>257.83239682341025</v>
      </c>
    </row>
    <row r="44" spans="1:16" x14ac:dyDescent="0.25">
      <c r="A44" s="3" t="s">
        <v>8</v>
      </c>
      <c r="B44" s="37">
        <f t="shared" ref="B44:H44" si="25">+B42/(24*B$8)</f>
        <v>0</v>
      </c>
      <c r="C44" s="37">
        <f>+C42/(24*C$8)</f>
        <v>0</v>
      </c>
      <c r="D44" s="37">
        <f t="shared" si="25"/>
        <v>0</v>
      </c>
      <c r="E44" s="37">
        <f t="shared" si="25"/>
        <v>0</v>
      </c>
      <c r="F44" s="37">
        <f t="shared" si="25"/>
        <v>0</v>
      </c>
      <c r="G44" s="37">
        <f t="shared" si="25"/>
        <v>2081.7023036465052</v>
      </c>
      <c r="H44" s="37">
        <f t="shared" si="25"/>
        <v>0</v>
      </c>
      <c r="I44" s="37">
        <f t="shared" ref="I44:N44" si="26">+I42/(24*I$8)</f>
        <v>0</v>
      </c>
      <c r="J44" s="37">
        <f t="shared" si="26"/>
        <v>0</v>
      </c>
      <c r="K44" s="37">
        <f t="shared" si="26"/>
        <v>0</v>
      </c>
      <c r="L44" s="37">
        <f t="shared" si="26"/>
        <v>0</v>
      </c>
      <c r="M44" s="37">
        <f>+M42/(24*M$8)</f>
        <v>0</v>
      </c>
      <c r="N44" s="37">
        <f t="shared" si="26"/>
        <v>0</v>
      </c>
      <c r="O44" s="6">
        <f>SUM(O42)/(24*O$8)</f>
        <v>176.80211346038814</v>
      </c>
      <c r="P44" s="4">
        <f>O42/(COUNTIF(B42:N42,"&gt;0")*720)</f>
        <v>2151.0923804347221</v>
      </c>
    </row>
    <row r="45" spans="1:16" x14ac:dyDescent="0.25">
      <c r="A45" s="3" t="s">
        <v>9</v>
      </c>
      <c r="B45" s="380">
        <f>VLOOKUP($A$40,TABLA_1[],10,FALSE)</f>
        <v>0</v>
      </c>
      <c r="C45" s="380">
        <f>VLOOKUP($A$40,TABLA_2[],10,FALSE)</f>
        <v>0</v>
      </c>
      <c r="D45" s="380">
        <f>VLOOKUP($A$40,TABLA_3[],10,FALSE)</f>
        <v>0</v>
      </c>
      <c r="E45" s="380">
        <f>VLOOKUP($A$40,TABLA_4[],10,FALSE)</f>
        <v>0</v>
      </c>
      <c r="F45" s="380">
        <f>VLOOKUP($A$40,TABLA_5[],10,FALSE)</f>
        <v>0</v>
      </c>
      <c r="G45" s="380">
        <f>VLOOKUP($A$40,TABLA_6[],10,FALSE)</f>
        <v>0.99594300000000002</v>
      </c>
      <c r="H45" s="380">
        <f>VLOOKUP($A$40,TABLA_7[],10,FALSE)</f>
        <v>0</v>
      </c>
      <c r="I45" s="380">
        <f>VLOOKUP($A$40,TABLA_8[],10,FALSE)</f>
        <v>0</v>
      </c>
      <c r="J45" s="380">
        <f>VLOOKUP($A$40,TABLA_9[],10,FALSE)</f>
        <v>0</v>
      </c>
      <c r="K45" s="380">
        <f>VLOOKUP($A$40,TABLA_10[],10,FALSE)</f>
        <v>0</v>
      </c>
      <c r="L45" s="380">
        <f>VLOOKUP($A$40,TABLA_11[],10,FALSE)</f>
        <v>0</v>
      </c>
      <c r="M45" s="380">
        <f>VLOOKUP($A$40,TABLA_12[],10,FALSE)</f>
        <v>0</v>
      </c>
      <c r="N45" s="380">
        <f>VLOOKUP($A$40,TABLA_13[],10,FALSE)</f>
        <v>0</v>
      </c>
      <c r="O45" s="6"/>
      <c r="P45" s="4">
        <f>COS(ATAN(P43/P41))</f>
        <v>0.99594300000000013</v>
      </c>
    </row>
    <row r="46" spans="1:16" x14ac:dyDescent="0.25">
      <c r="A46" s="3" t="s">
        <v>17</v>
      </c>
      <c r="B46" s="37" t="e">
        <f t="shared" ref="B46:H46" si="27">+B44/B41</f>
        <v>#DIV/0!</v>
      </c>
      <c r="C46" s="37" t="e">
        <f>+C44/C41</f>
        <v>#DIV/0!</v>
      </c>
      <c r="D46" s="37" t="e">
        <f t="shared" si="27"/>
        <v>#DIV/0!</v>
      </c>
      <c r="E46" s="37" t="e">
        <f t="shared" si="27"/>
        <v>#DIV/0!</v>
      </c>
      <c r="F46" s="37" t="e">
        <f t="shared" si="27"/>
        <v>#DIV/0!</v>
      </c>
      <c r="G46" s="37">
        <f t="shared" si="27"/>
        <v>0.7294965201891076</v>
      </c>
      <c r="H46" s="37" t="e">
        <f t="shared" si="27"/>
        <v>#DIV/0!</v>
      </c>
      <c r="I46" s="37" t="e">
        <f t="shared" ref="I46:N46" si="28">+I44/I41</f>
        <v>#DIV/0!</v>
      </c>
      <c r="J46" s="37" t="e">
        <f t="shared" si="28"/>
        <v>#DIV/0!</v>
      </c>
      <c r="K46" s="37" t="e">
        <f t="shared" si="28"/>
        <v>#DIV/0!</v>
      </c>
      <c r="L46" s="37" t="e">
        <f t="shared" si="28"/>
        <v>#DIV/0!</v>
      </c>
      <c r="M46" s="37" t="e">
        <f>+M44/M41</f>
        <v>#DIV/0!</v>
      </c>
      <c r="N46" s="37" t="e">
        <f t="shared" si="28"/>
        <v>#DIV/0!</v>
      </c>
      <c r="O46" s="6"/>
      <c r="P46" s="4">
        <f>+P44/P41</f>
        <v>0.75381307086207794</v>
      </c>
    </row>
    <row r="47" spans="1:16" s="24" customFormat="1" x14ac:dyDescent="0.25">
      <c r="A47" s="271" t="s">
        <v>248</v>
      </c>
      <c r="B47" s="262"/>
      <c r="C47" s="262"/>
      <c r="D47" s="262"/>
      <c r="E47" s="262"/>
      <c r="F47" s="65"/>
      <c r="G47" s="66"/>
      <c r="H47" s="66"/>
      <c r="I47" s="66"/>
      <c r="J47" s="66"/>
      <c r="K47" s="50"/>
      <c r="L47" s="50"/>
      <c r="M47" s="50"/>
      <c r="N47" s="50"/>
      <c r="O47" s="50"/>
      <c r="P47" s="50"/>
    </row>
    <row r="48" spans="1:16" x14ac:dyDescent="0.25">
      <c r="A48" s="3" t="s">
        <v>6</v>
      </c>
      <c r="B48" s="380">
        <f>VLOOKUP($A$47,TABLA_1[],5,FALSE)</f>
        <v>0</v>
      </c>
      <c r="C48" s="380">
        <f>VLOOKUP($A$47,TABLA_2[],5,FALSE)</f>
        <v>0</v>
      </c>
      <c r="D48" s="380">
        <f>VLOOKUP($A$47,TABLA_3[],5,FALSE)</f>
        <v>0</v>
      </c>
      <c r="E48" s="380">
        <f>VLOOKUP($A$47,TABLA_4[],5,FALSE)</f>
        <v>0</v>
      </c>
      <c r="F48" s="380">
        <f>VLOOKUP($A$47,TABLA_5[],5,FALSE)</f>
        <v>0</v>
      </c>
      <c r="G48" s="380">
        <f>VLOOKUP($A$47,TABLA_6[],5,FALSE)</f>
        <v>3946.4200030000002</v>
      </c>
      <c r="H48" s="380">
        <f>VLOOKUP($A$47,TABLA_7[],5,FALSE)</f>
        <v>0</v>
      </c>
      <c r="I48" s="380">
        <f>VLOOKUP($A$47,TABLA_8[],5,FALSE)</f>
        <v>0</v>
      </c>
      <c r="J48" s="380">
        <f>VLOOKUP($A$47,TABLA_9[],5,FALSE)</f>
        <v>0</v>
      </c>
      <c r="K48" s="380">
        <f>VLOOKUP($A$47,TABLA_10[],5,FALSE)</f>
        <v>0</v>
      </c>
      <c r="L48" s="380">
        <f>VLOOKUP($A$47,TABLA_11[],5,FALSE)</f>
        <v>0</v>
      </c>
      <c r="M48" s="380">
        <f>VLOOKUP($A$47,TABLA_12[],5,FALSE)</f>
        <v>0</v>
      </c>
      <c r="N48" s="380">
        <f>VLOOKUP($A$47,TABLA_13[],5,FALSE)</f>
        <v>0</v>
      </c>
      <c r="O48" s="6"/>
      <c r="P48" s="43">
        <f>MAX(B48:N48)</f>
        <v>3946.4200030000002</v>
      </c>
    </row>
    <row r="49" spans="1:18" x14ac:dyDescent="0.25">
      <c r="A49" s="3" t="s">
        <v>7</v>
      </c>
      <c r="B49" s="380">
        <f>VLOOKUP($A$47,TABLA_1[],8,FALSE)</f>
        <v>0</v>
      </c>
      <c r="C49" s="380">
        <f>VLOOKUP($A$47,TABLA_2[],8,FALSE)</f>
        <v>0</v>
      </c>
      <c r="D49" s="380">
        <f>VLOOKUP($A$47,TABLA_3[],8,FALSE)</f>
        <v>0</v>
      </c>
      <c r="E49" s="380">
        <f>VLOOKUP($A$47,TABLA_4[],8,FALSE)</f>
        <v>0</v>
      </c>
      <c r="F49" s="380">
        <f>VLOOKUP($A$47,TABLA_5[],8,FALSE)</f>
        <v>0</v>
      </c>
      <c r="G49" s="380">
        <f>VLOOKUP($A$47,TABLA_6[],8,FALSE)</f>
        <v>2278076.2346580001</v>
      </c>
      <c r="H49" s="380">
        <f>VLOOKUP($A$47,TABLA_7[],8,FALSE)</f>
        <v>0</v>
      </c>
      <c r="I49" s="380">
        <f>VLOOKUP($A$47,TABLA_8[],8,FALSE)</f>
        <v>0</v>
      </c>
      <c r="J49" s="380">
        <f>VLOOKUP($A$47,TABLA_9[],8,FALSE)</f>
        <v>0</v>
      </c>
      <c r="K49" s="380">
        <f>VLOOKUP($A$47,TABLA_10[],8,FALSE)</f>
        <v>0</v>
      </c>
      <c r="L49" s="380">
        <f>VLOOKUP($A$47,TABLA_11[],8,FALSE)</f>
        <v>0</v>
      </c>
      <c r="M49" s="380">
        <f>VLOOKUP($A$47,TABLA_12[],8,FALSE)</f>
        <v>0</v>
      </c>
      <c r="N49" s="380">
        <f>VLOOKUP($A$47,TABLA_13[],8,FALSE)</f>
        <v>0</v>
      </c>
      <c r="O49" s="47">
        <f>SUM(B49:N49)</f>
        <v>2278076.2346580001</v>
      </c>
      <c r="P49" s="43">
        <f>SUM(B49:N49)/(COUNTIF(B49:N49,"&gt;0"))</f>
        <v>2278076.2346580001</v>
      </c>
    </row>
    <row r="50" spans="1:18" x14ac:dyDescent="0.25">
      <c r="A50" s="3" t="s">
        <v>16</v>
      </c>
      <c r="B50" s="37" t="e">
        <f t="shared" ref="B50:H50" si="29">+((B48/B52)^2-(B48^2))^(0.5)</f>
        <v>#DIV/0!</v>
      </c>
      <c r="C50" s="37" t="e">
        <f>+((C48/C52)^2-(C48^2))^(0.5)</f>
        <v>#DIV/0!</v>
      </c>
      <c r="D50" s="37" t="e">
        <f t="shared" si="29"/>
        <v>#DIV/0!</v>
      </c>
      <c r="E50" s="37" t="e">
        <f t="shared" si="29"/>
        <v>#DIV/0!</v>
      </c>
      <c r="F50" s="37" t="e">
        <f t="shared" si="29"/>
        <v>#DIV/0!</v>
      </c>
      <c r="G50" s="37">
        <f t="shared" si="29"/>
        <v>865.21295073480019</v>
      </c>
      <c r="H50" s="37" t="e">
        <f t="shared" si="29"/>
        <v>#DIV/0!</v>
      </c>
      <c r="I50" s="37" t="e">
        <f t="shared" ref="I50:N50" si="30">+((I48/I52)^2-(I48^2))^(0.5)</f>
        <v>#DIV/0!</v>
      </c>
      <c r="J50" s="37" t="e">
        <f t="shared" si="30"/>
        <v>#DIV/0!</v>
      </c>
      <c r="K50" s="37" t="e">
        <f t="shared" si="30"/>
        <v>#DIV/0!</v>
      </c>
      <c r="L50" s="37" t="e">
        <f t="shared" si="30"/>
        <v>#DIV/0!</v>
      </c>
      <c r="M50" s="37" t="e">
        <f t="shared" si="30"/>
        <v>#DIV/0!</v>
      </c>
      <c r="N50" s="37" t="e">
        <f t="shared" si="30"/>
        <v>#DIV/0!</v>
      </c>
      <c r="O50" s="37"/>
      <c r="P50" s="4">
        <f>HLOOKUP(P48,B48:N50,3,FALSE)</f>
        <v>865.21295073480019</v>
      </c>
    </row>
    <row r="51" spans="1:18" x14ac:dyDescent="0.25">
      <c r="A51" s="3" t="s">
        <v>8</v>
      </c>
      <c r="B51" s="37">
        <f t="shared" ref="B51:H51" si="31">+B49/(24*B$8)</f>
        <v>0</v>
      </c>
      <c r="C51" s="37">
        <f>+C49/(24*C$8)</f>
        <v>0</v>
      </c>
      <c r="D51" s="37">
        <f t="shared" si="31"/>
        <v>0</v>
      </c>
      <c r="E51" s="37">
        <f t="shared" si="31"/>
        <v>0</v>
      </c>
      <c r="F51" s="37">
        <f t="shared" si="31"/>
        <v>0</v>
      </c>
      <c r="G51" s="37">
        <f t="shared" si="31"/>
        <v>3061.9304229274194</v>
      </c>
      <c r="H51" s="37">
        <f t="shared" si="31"/>
        <v>0</v>
      </c>
      <c r="I51" s="37">
        <f t="shared" ref="I51:N51" si="32">+I49/(24*I$8)</f>
        <v>0</v>
      </c>
      <c r="J51" s="37">
        <f t="shared" si="32"/>
        <v>0</v>
      </c>
      <c r="K51" s="37">
        <f t="shared" si="32"/>
        <v>0</v>
      </c>
      <c r="L51" s="37">
        <f t="shared" si="32"/>
        <v>0</v>
      </c>
      <c r="M51" s="37">
        <f t="shared" si="32"/>
        <v>0</v>
      </c>
      <c r="N51" s="37">
        <f t="shared" si="32"/>
        <v>0</v>
      </c>
      <c r="O51" s="6">
        <f>SUM(O49)/(24*O$8)</f>
        <v>260.05436468698633</v>
      </c>
      <c r="P51" s="4">
        <f>O49/(COUNTIF(B49:N49,"&gt;0")*720)</f>
        <v>3163.9947703583334</v>
      </c>
    </row>
    <row r="52" spans="1:18" x14ac:dyDescent="0.25">
      <c r="A52" s="3" t="s">
        <v>9</v>
      </c>
      <c r="B52" s="380">
        <f>VLOOKUP($A$47,TABLA_1[],10,FALSE)</f>
        <v>0</v>
      </c>
      <c r="C52" s="380">
        <f>VLOOKUP($A$47,TABLA_2[],10,FALSE)</f>
        <v>0</v>
      </c>
      <c r="D52" s="380">
        <f>VLOOKUP($A$47,TABLA_3[],10,FALSE)</f>
        <v>0</v>
      </c>
      <c r="E52" s="380">
        <f>VLOOKUP($A$47,TABLA_4[],10,FALSE)</f>
        <v>0</v>
      </c>
      <c r="F52" s="380">
        <f>VLOOKUP($A$47,TABLA_5[],10,FALSE)</f>
        <v>0</v>
      </c>
      <c r="G52" s="380">
        <f>VLOOKUP($A$47,TABLA_6[],10,FALSE)</f>
        <v>0.9768</v>
      </c>
      <c r="H52" s="380">
        <f>VLOOKUP($A$47,TABLA_7[],10,FALSE)</f>
        <v>0</v>
      </c>
      <c r="I52" s="380">
        <f>VLOOKUP($A$47,TABLA_8[],10,FALSE)</f>
        <v>0</v>
      </c>
      <c r="J52" s="380">
        <f>VLOOKUP($A$47,TABLA_9[],10,FALSE)</f>
        <v>0</v>
      </c>
      <c r="K52" s="380">
        <f>VLOOKUP($A$47,TABLA_10[],10,FALSE)</f>
        <v>0</v>
      </c>
      <c r="L52" s="380">
        <f>VLOOKUP($A$47,TABLA_11[],10,FALSE)</f>
        <v>0</v>
      </c>
      <c r="M52" s="380">
        <f>VLOOKUP($A$47,TABLA_12[],10,FALSE)</f>
        <v>0</v>
      </c>
      <c r="N52" s="380">
        <f>VLOOKUP($A$47,TABLA_13[],10,FALSE)</f>
        <v>0</v>
      </c>
      <c r="O52" s="6"/>
      <c r="P52" s="4">
        <f>COS(ATAN(P50/P48))</f>
        <v>0.9768</v>
      </c>
    </row>
    <row r="53" spans="1:18" x14ac:dyDescent="0.25">
      <c r="A53" s="3" t="s">
        <v>17</v>
      </c>
      <c r="B53" s="37" t="e">
        <f t="shared" ref="B53:I53" si="33">+B51/B48</f>
        <v>#DIV/0!</v>
      </c>
      <c r="C53" s="37" t="e">
        <f>+C51/C48</f>
        <v>#DIV/0!</v>
      </c>
      <c r="D53" s="37" t="e">
        <f t="shared" si="33"/>
        <v>#DIV/0!</v>
      </c>
      <c r="E53" s="37" t="e">
        <f t="shared" si="33"/>
        <v>#DIV/0!</v>
      </c>
      <c r="F53" s="37" t="e">
        <f t="shared" si="33"/>
        <v>#DIV/0!</v>
      </c>
      <c r="G53" s="37">
        <f t="shared" si="33"/>
        <v>0.77587545689505755</v>
      </c>
      <c r="H53" s="37" t="e">
        <f t="shared" si="33"/>
        <v>#DIV/0!</v>
      </c>
      <c r="I53" s="37" t="e">
        <f t="shared" si="33"/>
        <v>#DIV/0!</v>
      </c>
      <c r="J53" s="37" t="e">
        <f>+J51/J48</f>
        <v>#DIV/0!</v>
      </c>
      <c r="K53" s="37" t="e">
        <f>+K51/K48</f>
        <v>#DIV/0!</v>
      </c>
      <c r="L53" s="37" t="e">
        <f>+L51/L48</f>
        <v>#DIV/0!</v>
      </c>
      <c r="M53" s="37" t="e">
        <f>+M51/M48</f>
        <v>#DIV/0!</v>
      </c>
      <c r="N53" s="37" t="e">
        <f>+N51/N48</f>
        <v>#DIV/0!</v>
      </c>
      <c r="O53" s="6"/>
      <c r="P53" s="4">
        <f>+P51/P48</f>
        <v>0.80173797212489273</v>
      </c>
    </row>
    <row r="54" spans="1:18" x14ac:dyDescent="0.25">
      <c r="A54" s="90"/>
      <c r="B54" s="77"/>
      <c r="C54" s="77"/>
      <c r="D54" s="77"/>
      <c r="E54" s="77"/>
      <c r="F54" s="77"/>
      <c r="G54" s="77"/>
      <c r="H54" s="77"/>
      <c r="I54" s="77"/>
      <c r="J54" s="77"/>
      <c r="K54" s="77"/>
      <c r="L54" s="77"/>
      <c r="M54" s="77"/>
      <c r="N54" s="77"/>
      <c r="O54" s="77"/>
      <c r="P54" s="77"/>
    </row>
    <row r="55" spans="1:18" x14ac:dyDescent="0.25">
      <c r="A55" s="90"/>
      <c r="B55" s="77"/>
      <c r="C55" s="77"/>
      <c r="D55" s="77"/>
      <c r="E55" s="77"/>
      <c r="F55" s="77"/>
      <c r="G55" s="77"/>
      <c r="H55" s="77"/>
      <c r="I55" s="77"/>
      <c r="J55" s="77"/>
      <c r="K55" s="77"/>
      <c r="L55" s="77"/>
      <c r="M55" s="77"/>
      <c r="N55" s="77"/>
      <c r="O55" s="77"/>
      <c r="P55" s="77"/>
    </row>
    <row r="56" spans="1:18" x14ac:dyDescent="0.25">
      <c r="A56" s="7" t="s">
        <v>10</v>
      </c>
      <c r="B56" s="72"/>
      <c r="C56" s="72"/>
      <c r="D56" s="72"/>
      <c r="E56" s="72"/>
      <c r="F56" s="72"/>
      <c r="G56" s="73"/>
      <c r="H56" s="73"/>
      <c r="I56" s="73"/>
      <c r="J56" s="73"/>
      <c r="K56" s="73"/>
      <c r="L56" s="53"/>
      <c r="M56" s="53"/>
      <c r="N56" s="53"/>
      <c r="O56" s="53"/>
      <c r="P56" s="8"/>
    </row>
    <row r="57" spans="1:18" x14ac:dyDescent="0.25">
      <c r="A57" s="9" t="s">
        <v>11</v>
      </c>
      <c r="B57" s="62">
        <f t="shared" ref="B57:H58" si="34">+B13+B20+B27+B34+B41+B48</f>
        <v>0</v>
      </c>
      <c r="C57" s="62">
        <f>+C13+C20+C27+C34+C41+C48</f>
        <v>0</v>
      </c>
      <c r="D57" s="62">
        <f t="shared" si="34"/>
        <v>0</v>
      </c>
      <c r="E57" s="62">
        <f t="shared" si="34"/>
        <v>0</v>
      </c>
      <c r="F57" s="62">
        <f t="shared" si="34"/>
        <v>0</v>
      </c>
      <c r="G57" s="62">
        <f t="shared" si="34"/>
        <v>27094.636648</v>
      </c>
      <c r="H57" s="62">
        <f t="shared" si="34"/>
        <v>0</v>
      </c>
      <c r="I57" s="62">
        <f t="shared" ref="I57:N58" si="35">+I13+I20+I27+I34+I41+I48</f>
        <v>0</v>
      </c>
      <c r="J57" s="62">
        <f t="shared" si="35"/>
        <v>0</v>
      </c>
      <c r="K57" s="62">
        <f t="shared" si="35"/>
        <v>0</v>
      </c>
      <c r="L57" s="62">
        <f t="shared" si="35"/>
        <v>0</v>
      </c>
      <c r="M57" s="62">
        <f>+M13+M20+M27+M34+M41+M48</f>
        <v>0</v>
      </c>
      <c r="N57" s="62">
        <f t="shared" si="35"/>
        <v>0</v>
      </c>
      <c r="O57" s="62"/>
      <c r="P57" s="42">
        <f>MAX(B57:N57)</f>
        <v>27094.636648</v>
      </c>
    </row>
    <row r="58" spans="1:18" x14ac:dyDescent="0.25">
      <c r="A58" s="9" t="s">
        <v>7</v>
      </c>
      <c r="B58" s="62">
        <f t="shared" si="34"/>
        <v>0</v>
      </c>
      <c r="C58" s="62">
        <f>+C14+C21+C28+C35+C42+C49</f>
        <v>0</v>
      </c>
      <c r="D58" s="62">
        <f t="shared" si="34"/>
        <v>0</v>
      </c>
      <c r="E58" s="62">
        <f t="shared" si="34"/>
        <v>0</v>
      </c>
      <c r="F58" s="62">
        <f t="shared" si="34"/>
        <v>0</v>
      </c>
      <c r="G58" s="62">
        <f t="shared" si="34"/>
        <v>13106502.96604</v>
      </c>
      <c r="H58" s="62">
        <f t="shared" si="34"/>
        <v>0</v>
      </c>
      <c r="I58" s="62">
        <f t="shared" si="35"/>
        <v>0</v>
      </c>
      <c r="J58" s="62">
        <f t="shared" si="35"/>
        <v>0</v>
      </c>
      <c r="K58" s="62">
        <f t="shared" si="35"/>
        <v>0</v>
      </c>
      <c r="L58" s="62">
        <f t="shared" si="35"/>
        <v>0</v>
      </c>
      <c r="M58" s="62">
        <f>+M14+M21+M28+M35+M42+M49</f>
        <v>0</v>
      </c>
      <c r="N58" s="62">
        <f t="shared" si="35"/>
        <v>0</v>
      </c>
      <c r="O58" s="62">
        <f>SUM(B58:N58)</f>
        <v>13106502.96604</v>
      </c>
      <c r="P58" s="42"/>
    </row>
    <row r="59" spans="1:18" s="24" customFormat="1" x14ac:dyDescent="0.25">
      <c r="A59" s="272" t="s">
        <v>12</v>
      </c>
      <c r="B59" s="376" t="s">
        <v>486</v>
      </c>
      <c r="C59" s="246"/>
      <c r="D59" s="246"/>
      <c r="E59" s="246"/>
      <c r="F59" s="246"/>
      <c r="G59" s="247"/>
      <c r="H59" s="247"/>
      <c r="I59" s="247"/>
      <c r="J59" s="247"/>
      <c r="K59" s="36"/>
      <c r="L59" s="36"/>
      <c r="M59" s="36"/>
      <c r="N59" s="36"/>
      <c r="O59" s="36"/>
      <c r="P59" s="36"/>
    </row>
    <row r="60" spans="1:18" x14ac:dyDescent="0.25">
      <c r="A60" s="3" t="s">
        <v>6</v>
      </c>
      <c r="B60" s="380">
        <f>VLOOKUP($B$59,BancoTabla_1[],5,FALSE)</f>
        <v>0</v>
      </c>
      <c r="C60" s="380">
        <f>VLOOKUP($B$59,BancoTabla_2[],5,FALSE)</f>
        <v>0</v>
      </c>
      <c r="D60" s="380">
        <f>VLOOKUP($B$59,BancoTabla_3[],5,FALSE)</f>
        <v>0</v>
      </c>
      <c r="E60" s="380">
        <f>VLOOKUP($B$59,BancoTabla_4[],5,FALSE)</f>
        <v>0</v>
      </c>
      <c r="F60" s="380">
        <f>VLOOKUP($B$59,BancoTabla_5[],5,FALSE)</f>
        <v>0</v>
      </c>
      <c r="G60" s="380">
        <f>VLOOKUP($B$59,BancoTabla_6[],5,FALSE)</f>
        <v>26103.299803999998</v>
      </c>
      <c r="H60" s="380">
        <f>VLOOKUP($B$59,BancoTabla_7[],5,FALSE)</f>
        <v>0</v>
      </c>
      <c r="I60" s="380">
        <f>VLOOKUP($B$59,BancoTabla_8[],5,FALSE)</f>
        <v>0</v>
      </c>
      <c r="J60" s="380">
        <f>VLOOKUP($B$59,BancoTabla_9[],5,FALSE)</f>
        <v>0</v>
      </c>
      <c r="K60" s="380">
        <f>VLOOKUP($B$59,BancoTabla_10[],5,FALSE)</f>
        <v>0</v>
      </c>
      <c r="L60" s="380">
        <f>VLOOKUP($B$59,BancoTabla_11[],5,FALSE)</f>
        <v>0</v>
      </c>
      <c r="M60" s="380">
        <f>VLOOKUP($B$59,BancoTabla_12[],5,FALSE)</f>
        <v>0</v>
      </c>
      <c r="N60" s="380">
        <f>VLOOKUP($B$59,BancoTabla_13[],5,FALSE)</f>
        <v>0</v>
      </c>
      <c r="O60" s="79"/>
      <c r="P60" s="43">
        <f>MAX(B60:N60)</f>
        <v>26103.299803999998</v>
      </c>
      <c r="Q60" s="334">
        <f>P60/1000</f>
        <v>26.103299803999999</v>
      </c>
    </row>
    <row r="61" spans="1:18" x14ac:dyDescent="0.25">
      <c r="A61" s="3" t="s">
        <v>7</v>
      </c>
      <c r="B61" s="380">
        <f>VLOOKUP($B$59,BancoTabla_1[],8,FALSE)</f>
        <v>0</v>
      </c>
      <c r="C61" s="380">
        <f>VLOOKUP($B$59,BancoTabla_2[],8,FALSE)</f>
        <v>0</v>
      </c>
      <c r="D61" s="380">
        <f>VLOOKUP($B$59,BancoTabla_3[],8,FALSE)</f>
        <v>0</v>
      </c>
      <c r="E61" s="380">
        <f>VLOOKUP($B$59,BancoTabla_4[],8,FALSE)</f>
        <v>0</v>
      </c>
      <c r="F61" s="380">
        <f>VLOOKUP($B$59,BancoTabla_5[],8,FALSE)</f>
        <v>0</v>
      </c>
      <c r="G61" s="380">
        <f>VLOOKUP($B$59,BancoTabla_6[],8,FALSE)</f>
        <v>13076903.690632001</v>
      </c>
      <c r="H61" s="380">
        <f>VLOOKUP($B$59,BancoTabla_7[],8,FALSE)</f>
        <v>0</v>
      </c>
      <c r="I61" s="380">
        <f>VLOOKUP($B$59,BancoTabla_8[],8,FALSE)</f>
        <v>0</v>
      </c>
      <c r="J61" s="380">
        <f>VLOOKUP($B$59,BancoTabla_9[],8,FALSE)</f>
        <v>0</v>
      </c>
      <c r="K61" s="380">
        <f>VLOOKUP($B$59,BancoTabla_10[],8,FALSE)</f>
        <v>0</v>
      </c>
      <c r="L61" s="380">
        <f>VLOOKUP($B$59,BancoTabla_11[],8,FALSE)</f>
        <v>0</v>
      </c>
      <c r="M61" s="380">
        <f>VLOOKUP($B$59,BancoTabla_12[],8,FALSE)</f>
        <v>0</v>
      </c>
      <c r="N61" s="380">
        <f>VLOOKUP($B$59,BancoTabla_13[],8,FALSE)</f>
        <v>0</v>
      </c>
      <c r="O61" s="47">
        <f>SUM(B61:N61)</f>
        <v>13076903.690632001</v>
      </c>
      <c r="P61" s="4">
        <f>SUM(B61:N61)/(COUNTIF(B61:N61,"&gt;0"))</f>
        <v>13076903.690632001</v>
      </c>
      <c r="R61" s="39"/>
    </row>
    <row r="62" spans="1:18" x14ac:dyDescent="0.25">
      <c r="A62" s="3" t="s">
        <v>16</v>
      </c>
      <c r="B62" s="37" t="e">
        <f t="shared" ref="B62:N62" si="36">+((B60/B64)^2-(B60^2))^(0.5)</f>
        <v>#DIV/0!</v>
      </c>
      <c r="C62" s="37" t="e">
        <f>+((C60/C64)^2-(C60^2))^(0.5)</f>
        <v>#DIV/0!</v>
      </c>
      <c r="D62" s="37" t="e">
        <f t="shared" si="36"/>
        <v>#DIV/0!</v>
      </c>
      <c r="E62" s="37" t="e">
        <f t="shared" si="36"/>
        <v>#DIV/0!</v>
      </c>
      <c r="F62" s="37" t="e">
        <f t="shared" si="36"/>
        <v>#DIV/0!</v>
      </c>
      <c r="G62" s="37">
        <f t="shared" si="36"/>
        <v>3462.687463493809</v>
      </c>
      <c r="H62" s="37" t="e">
        <f t="shared" si="36"/>
        <v>#DIV/0!</v>
      </c>
      <c r="I62" s="37" t="e">
        <f t="shared" si="36"/>
        <v>#DIV/0!</v>
      </c>
      <c r="J62" s="37" t="e">
        <f t="shared" si="36"/>
        <v>#DIV/0!</v>
      </c>
      <c r="K62" s="37" t="e">
        <f t="shared" si="36"/>
        <v>#DIV/0!</v>
      </c>
      <c r="L62" s="37" t="e">
        <f t="shared" si="36"/>
        <v>#DIV/0!</v>
      </c>
      <c r="M62" s="37" t="e">
        <f t="shared" si="36"/>
        <v>#DIV/0!</v>
      </c>
      <c r="N62" s="37" t="e">
        <f t="shared" si="36"/>
        <v>#DIV/0!</v>
      </c>
      <c r="O62" s="37"/>
      <c r="P62" s="4">
        <f>HLOOKUP(P60,B60:N62,3,FALSE)</f>
        <v>3462.687463493809</v>
      </c>
    </row>
    <row r="63" spans="1:18" x14ac:dyDescent="0.25">
      <c r="A63" s="3" t="s">
        <v>8</v>
      </c>
      <c r="B63" s="37">
        <f t="shared" ref="B63:H63" si="37">+B61/(24*B$8)</f>
        <v>0</v>
      </c>
      <c r="C63" s="37">
        <f>+C61/(24*C$8)</f>
        <v>0</v>
      </c>
      <c r="D63" s="37">
        <f>+D61/(24*D$8)</f>
        <v>0</v>
      </c>
      <c r="E63" s="37">
        <f>+E61/(24*E$8)</f>
        <v>0</v>
      </c>
      <c r="F63" s="37">
        <f t="shared" si="37"/>
        <v>0</v>
      </c>
      <c r="G63" s="37">
        <f t="shared" si="37"/>
        <v>17576.483455150537</v>
      </c>
      <c r="H63" s="37">
        <f t="shared" si="37"/>
        <v>0</v>
      </c>
      <c r="I63" s="37">
        <f t="shared" ref="I63:N63" si="38">+I61/(24*I$8)</f>
        <v>0</v>
      </c>
      <c r="J63" s="37">
        <f t="shared" si="38"/>
        <v>0</v>
      </c>
      <c r="K63" s="37">
        <f t="shared" si="38"/>
        <v>0</v>
      </c>
      <c r="L63" s="37">
        <f t="shared" si="38"/>
        <v>0</v>
      </c>
      <c r="M63" s="37">
        <f t="shared" si="38"/>
        <v>0</v>
      </c>
      <c r="N63" s="37">
        <f t="shared" si="38"/>
        <v>0</v>
      </c>
      <c r="O63" s="6">
        <f>SUM(O61)/(24*O$8)</f>
        <v>1492.7972249579909</v>
      </c>
      <c r="P63" s="4">
        <f>O61/(COUNTIF(B61:N61,"&gt;0")*720)</f>
        <v>18162.366236988888</v>
      </c>
    </row>
    <row r="64" spans="1:18" x14ac:dyDescent="0.25">
      <c r="A64" s="3" t="s">
        <v>9</v>
      </c>
      <c r="B64" s="380">
        <f>VLOOKUP($B$59,BancoTabla_1[],10,FALSE)</f>
        <v>0</v>
      </c>
      <c r="C64" s="380">
        <f>VLOOKUP($B$59,BancoTabla_2[],10,FALSE)</f>
        <v>0</v>
      </c>
      <c r="D64" s="380">
        <f>VLOOKUP($B$59,BancoTabla_3[],10,FALSE)</f>
        <v>0</v>
      </c>
      <c r="E64" s="380">
        <f>VLOOKUP($B$59,BancoTabla_4[],10,FALSE)</f>
        <v>0</v>
      </c>
      <c r="F64" s="380">
        <f>VLOOKUP($B$59,BancoTabla_5[],10,FALSE)</f>
        <v>0</v>
      </c>
      <c r="G64" s="380">
        <f>VLOOKUP($B$59,BancoTabla_6[],10,FALSE)</f>
        <v>0.99131599999999997</v>
      </c>
      <c r="H64" s="380">
        <f>VLOOKUP($B$59,BancoTabla_7[],10,FALSE)</f>
        <v>0</v>
      </c>
      <c r="I64" s="380">
        <f>VLOOKUP($B$59,BancoTabla_8[],10,FALSE)</f>
        <v>0</v>
      </c>
      <c r="J64" s="380">
        <f>VLOOKUP($B$59,BancoTabla_9[],10,FALSE)</f>
        <v>0</v>
      </c>
      <c r="K64" s="380">
        <f>VLOOKUP($B$59,BancoTabla_10[],10,FALSE)</f>
        <v>0</v>
      </c>
      <c r="L64" s="380">
        <f>VLOOKUP($B$59,BancoTabla_11[],10,FALSE)</f>
        <v>0</v>
      </c>
      <c r="M64" s="380">
        <f>VLOOKUP($B$59,BancoTabla_12[],10,FALSE)</f>
        <v>0</v>
      </c>
      <c r="N64" s="380">
        <f>VLOOKUP($B$59,BancoTabla_13[],10,FALSE)</f>
        <v>0</v>
      </c>
      <c r="O64" s="6"/>
      <c r="P64" s="4">
        <f>COS(ATAN(P62/P60))</f>
        <v>0.99131599999999997</v>
      </c>
    </row>
    <row r="65" spans="1:16" x14ac:dyDescent="0.25">
      <c r="A65" s="3" t="s">
        <v>17</v>
      </c>
      <c r="B65" s="37" t="e">
        <f t="shared" ref="B65:H65" si="39">+B63/B60</f>
        <v>#DIV/0!</v>
      </c>
      <c r="C65" s="37" t="e">
        <f>+C63/C60</f>
        <v>#DIV/0!</v>
      </c>
      <c r="D65" s="37" t="e">
        <f>+D63/D60</f>
        <v>#DIV/0!</v>
      </c>
      <c r="E65" s="37" t="e">
        <f>+E63/E60</f>
        <v>#DIV/0!</v>
      </c>
      <c r="F65" s="37" t="e">
        <f t="shared" si="39"/>
        <v>#DIV/0!</v>
      </c>
      <c r="G65" s="37">
        <f t="shared" si="39"/>
        <v>0.67334335456152428</v>
      </c>
      <c r="H65" s="37" t="e">
        <f t="shared" si="39"/>
        <v>#DIV/0!</v>
      </c>
      <c r="I65" s="37" t="e">
        <f t="shared" ref="I65:N65" si="40">+I63/I60</f>
        <v>#DIV/0!</v>
      </c>
      <c r="J65" s="37" t="e">
        <f t="shared" si="40"/>
        <v>#DIV/0!</v>
      </c>
      <c r="K65" s="37" t="e">
        <f t="shared" si="40"/>
        <v>#DIV/0!</v>
      </c>
      <c r="L65" s="37" t="e">
        <f t="shared" si="40"/>
        <v>#DIV/0!</v>
      </c>
      <c r="M65" s="37" t="e">
        <f t="shared" si="40"/>
        <v>#DIV/0!</v>
      </c>
      <c r="N65" s="37" t="e">
        <f t="shared" si="40"/>
        <v>#DIV/0!</v>
      </c>
      <c r="O65" s="6"/>
      <c r="P65" s="4">
        <f>+P63/P60</f>
        <v>0.69578813304690834</v>
      </c>
    </row>
    <row r="66" spans="1:16" x14ac:dyDescent="0.25">
      <c r="A66" s="3" t="s">
        <v>18</v>
      </c>
      <c r="B66" s="37" t="e">
        <f t="shared" ref="B66:G66" si="41">+B57/B60</f>
        <v>#DIV/0!</v>
      </c>
      <c r="C66" s="37" t="e">
        <f t="shared" si="41"/>
        <v>#DIV/0!</v>
      </c>
      <c r="D66" s="37" t="e">
        <f t="shared" si="41"/>
        <v>#DIV/0!</v>
      </c>
      <c r="E66" s="37" t="e">
        <f t="shared" si="41"/>
        <v>#DIV/0!</v>
      </c>
      <c r="F66" s="37" t="e">
        <f t="shared" si="41"/>
        <v>#DIV/0!</v>
      </c>
      <c r="G66" s="37">
        <f t="shared" si="41"/>
        <v>1.0379774530976382</v>
      </c>
      <c r="H66" s="37" t="e">
        <f t="shared" ref="H66:N66" si="42">+H57/H60</f>
        <v>#DIV/0!</v>
      </c>
      <c r="I66" s="37" t="e">
        <f t="shared" si="42"/>
        <v>#DIV/0!</v>
      </c>
      <c r="J66" s="37" t="e">
        <f t="shared" si="42"/>
        <v>#DIV/0!</v>
      </c>
      <c r="K66" s="37" t="e">
        <f t="shared" si="42"/>
        <v>#DIV/0!</v>
      </c>
      <c r="L66" s="37" t="e">
        <f t="shared" si="42"/>
        <v>#DIV/0!</v>
      </c>
      <c r="M66" s="37" t="e">
        <f t="shared" si="42"/>
        <v>#DIV/0!</v>
      </c>
      <c r="N66" s="37" t="e">
        <f t="shared" si="42"/>
        <v>#DIV/0!</v>
      </c>
      <c r="O66" s="6"/>
      <c r="P66" s="4">
        <f>+P57/P60</f>
        <v>1.0379774530976382</v>
      </c>
    </row>
    <row r="67" spans="1:16" x14ac:dyDescent="0.25">
      <c r="A67" s="3" t="s">
        <v>19</v>
      </c>
      <c r="B67" s="37">
        <f t="shared" ref="B67:H67" si="43">+B60/$B$68</f>
        <v>0</v>
      </c>
      <c r="C67" s="37">
        <f>+C60/$B$68</f>
        <v>0</v>
      </c>
      <c r="D67" s="37">
        <f t="shared" si="43"/>
        <v>0</v>
      </c>
      <c r="E67" s="37">
        <f t="shared" si="43"/>
        <v>0</v>
      </c>
      <c r="F67" s="37">
        <f t="shared" si="43"/>
        <v>0</v>
      </c>
      <c r="G67" s="37">
        <f t="shared" si="43"/>
        <v>0.87773222006571727</v>
      </c>
      <c r="H67" s="37">
        <f t="shared" si="43"/>
        <v>0</v>
      </c>
      <c r="I67" s="37">
        <f t="shared" ref="I67:N67" si="44">+I60/$B$68</f>
        <v>0</v>
      </c>
      <c r="J67" s="37">
        <f t="shared" si="44"/>
        <v>0</v>
      </c>
      <c r="K67" s="37">
        <f t="shared" si="44"/>
        <v>0</v>
      </c>
      <c r="L67" s="37">
        <f t="shared" si="44"/>
        <v>0</v>
      </c>
      <c r="M67" s="37">
        <f>+M60/$B$68</f>
        <v>0</v>
      </c>
      <c r="N67" s="37">
        <f t="shared" si="44"/>
        <v>0</v>
      </c>
      <c r="O67" s="6"/>
      <c r="P67" s="4">
        <f>+P60/$B$68</f>
        <v>0.87773222006571727</v>
      </c>
    </row>
    <row r="68" spans="1:16" x14ac:dyDescent="0.25">
      <c r="A68" s="3" t="s">
        <v>20</v>
      </c>
      <c r="B68" s="4">
        <f>30*P64*1000</f>
        <v>29739.48</v>
      </c>
      <c r="C68" s="4"/>
      <c r="D68" s="4"/>
      <c r="E68" s="4"/>
      <c r="F68" s="4"/>
      <c r="G68" s="3"/>
      <c r="H68" s="3"/>
      <c r="I68" s="3"/>
      <c r="J68" s="3"/>
      <c r="K68" s="4"/>
      <c r="L68" s="4"/>
      <c r="M68" s="4"/>
      <c r="N68" s="4"/>
      <c r="O68" s="37"/>
      <c r="P68" s="4"/>
    </row>
    <row r="69" spans="1:16" x14ac:dyDescent="0.25">
      <c r="B69" s="237">
        <f>B60/$B$68</f>
        <v>0</v>
      </c>
      <c r="C69" s="237">
        <f>C60/$B$68</f>
        <v>0</v>
      </c>
      <c r="D69" s="237">
        <f t="shared" ref="D69:N69" si="45">D60/$B$68</f>
        <v>0</v>
      </c>
      <c r="E69" s="237">
        <f t="shared" si="45"/>
        <v>0</v>
      </c>
      <c r="F69" s="237">
        <f t="shared" si="45"/>
        <v>0</v>
      </c>
      <c r="G69" s="237">
        <f t="shared" si="45"/>
        <v>0.87773222006571727</v>
      </c>
      <c r="H69" s="237">
        <f t="shared" si="45"/>
        <v>0</v>
      </c>
      <c r="I69" s="237">
        <f t="shared" si="45"/>
        <v>0</v>
      </c>
      <c r="J69" s="237">
        <f t="shared" si="45"/>
        <v>0</v>
      </c>
      <c r="K69" s="237">
        <f t="shared" si="45"/>
        <v>0</v>
      </c>
      <c r="L69" s="237">
        <f t="shared" si="45"/>
        <v>0</v>
      </c>
      <c r="M69" s="237">
        <f t="shared" si="45"/>
        <v>0</v>
      </c>
      <c r="N69" s="237">
        <f t="shared" si="45"/>
        <v>0</v>
      </c>
      <c r="O69" s="24"/>
    </row>
    <row r="70" spans="1:16" x14ac:dyDescent="0.25">
      <c r="B70" s="26"/>
      <c r="C70" s="26"/>
      <c r="D70" s="26"/>
      <c r="E70" s="26"/>
      <c r="F70" s="26"/>
      <c r="O70" s="24"/>
    </row>
    <row r="71" spans="1:16" x14ac:dyDescent="0.25">
      <c r="A71" s="15" t="s">
        <v>14</v>
      </c>
      <c r="B71" s="29"/>
      <c r="C71" s="29"/>
      <c r="D71" s="29"/>
      <c r="E71" s="29"/>
      <c r="F71" s="29"/>
      <c r="G71" s="15"/>
      <c r="H71" s="15"/>
      <c r="I71" s="15"/>
      <c r="J71" s="15"/>
      <c r="K71" s="16"/>
      <c r="L71" s="16"/>
      <c r="M71" s="16"/>
      <c r="N71" s="16"/>
      <c r="O71" s="57"/>
      <c r="P71" s="16"/>
    </row>
    <row r="72" spans="1:16" x14ac:dyDescent="0.25">
      <c r="A72" s="16" t="s">
        <v>11</v>
      </c>
      <c r="B72" s="45">
        <f>+B60</f>
        <v>0</v>
      </c>
      <c r="C72" s="45">
        <f>+C60</f>
        <v>0</v>
      </c>
      <c r="D72" s="45">
        <f t="shared" ref="D72:M73" si="46">+D60</f>
        <v>0</v>
      </c>
      <c r="E72" s="45">
        <f t="shared" si="46"/>
        <v>0</v>
      </c>
      <c r="F72" s="45">
        <f t="shared" si="46"/>
        <v>0</v>
      </c>
      <c r="G72" s="45">
        <f t="shared" si="46"/>
        <v>26103.299803999998</v>
      </c>
      <c r="H72" s="45">
        <f t="shared" si="46"/>
        <v>0</v>
      </c>
      <c r="I72" s="45">
        <f t="shared" si="46"/>
        <v>0</v>
      </c>
      <c r="J72" s="45">
        <f t="shared" si="46"/>
        <v>0</v>
      </c>
      <c r="K72" s="45">
        <f t="shared" si="46"/>
        <v>0</v>
      </c>
      <c r="L72" s="45">
        <f t="shared" si="46"/>
        <v>0</v>
      </c>
      <c r="M72" s="45">
        <f t="shared" si="46"/>
        <v>0</v>
      </c>
      <c r="N72" s="45">
        <f>+N60</f>
        <v>0</v>
      </c>
      <c r="O72" s="63"/>
      <c r="P72" s="45">
        <f>MAX(B72:N72)</f>
        <v>26103.299803999998</v>
      </c>
    </row>
    <row r="73" spans="1:16" x14ac:dyDescent="0.25">
      <c r="A73" s="16" t="s">
        <v>7</v>
      </c>
      <c r="B73" s="45">
        <f>+B61</f>
        <v>0</v>
      </c>
      <c r="C73" s="45">
        <f>+C61</f>
        <v>0</v>
      </c>
      <c r="D73" s="45">
        <f t="shared" si="46"/>
        <v>0</v>
      </c>
      <c r="E73" s="45">
        <f t="shared" si="46"/>
        <v>0</v>
      </c>
      <c r="F73" s="45">
        <f t="shared" si="46"/>
        <v>0</v>
      </c>
      <c r="G73" s="45">
        <f t="shared" si="46"/>
        <v>13076903.690632001</v>
      </c>
      <c r="H73" s="45">
        <f t="shared" si="46"/>
        <v>0</v>
      </c>
      <c r="I73" s="45">
        <f t="shared" si="46"/>
        <v>0</v>
      </c>
      <c r="J73" s="45">
        <f t="shared" si="46"/>
        <v>0</v>
      </c>
      <c r="K73" s="45">
        <f t="shared" si="46"/>
        <v>0</v>
      </c>
      <c r="L73" s="45">
        <f t="shared" si="46"/>
        <v>0</v>
      </c>
      <c r="M73" s="45">
        <f t="shared" si="46"/>
        <v>0</v>
      </c>
      <c r="N73" s="45">
        <f>+N61</f>
        <v>0</v>
      </c>
      <c r="O73" s="63">
        <f>SUM(B73:N73)</f>
        <v>13076903.690632001</v>
      </c>
      <c r="P73" s="43"/>
    </row>
    <row r="74" spans="1:16" x14ac:dyDescent="0.25">
      <c r="B74" s="26"/>
      <c r="C74" s="26"/>
      <c r="D74" s="26"/>
      <c r="E74" s="26"/>
      <c r="F74" s="26"/>
      <c r="O74" s="24"/>
    </row>
    <row r="75" spans="1:16" x14ac:dyDescent="0.25">
      <c r="A75" s="12" t="s">
        <v>21</v>
      </c>
      <c r="B75" s="28"/>
      <c r="C75" s="28"/>
      <c r="D75" s="28"/>
      <c r="E75" s="28"/>
      <c r="F75" s="28"/>
      <c r="G75" s="12"/>
      <c r="H75" s="12"/>
      <c r="I75" s="12"/>
      <c r="J75" s="12"/>
      <c r="K75" s="11"/>
      <c r="L75" s="11"/>
      <c r="M75" s="11"/>
      <c r="N75" s="11"/>
      <c r="O75" s="56"/>
      <c r="P75" s="11"/>
    </row>
    <row r="76" spans="1:16" x14ac:dyDescent="0.25">
      <c r="A76" s="13" t="s">
        <v>6</v>
      </c>
      <c r="B76" s="49">
        <f>+B72</f>
        <v>0</v>
      </c>
      <c r="C76" s="49">
        <f>+C72</f>
        <v>0</v>
      </c>
      <c r="D76" s="49">
        <f>+D72</f>
        <v>0</v>
      </c>
      <c r="E76" s="49">
        <f>+E72</f>
        <v>0</v>
      </c>
      <c r="F76" s="49">
        <f>+F72</f>
        <v>0</v>
      </c>
      <c r="G76" s="49">
        <f t="shared" ref="G76:M76" si="47">+G72</f>
        <v>26103.299803999998</v>
      </c>
      <c r="H76" s="49">
        <f t="shared" si="47"/>
        <v>0</v>
      </c>
      <c r="I76" s="49">
        <f t="shared" si="47"/>
        <v>0</v>
      </c>
      <c r="J76" s="49">
        <f t="shared" si="47"/>
        <v>0</v>
      </c>
      <c r="K76" s="49">
        <f t="shared" si="47"/>
        <v>0</v>
      </c>
      <c r="L76" s="49">
        <f t="shared" si="47"/>
        <v>0</v>
      </c>
      <c r="M76" s="49">
        <f t="shared" si="47"/>
        <v>0</v>
      </c>
      <c r="N76" s="49">
        <f>+N72</f>
        <v>0</v>
      </c>
      <c r="O76" s="80"/>
      <c r="P76" s="44">
        <f>MAX(B76:N76)</f>
        <v>26103.299803999998</v>
      </c>
    </row>
    <row r="77" spans="1:16" x14ac:dyDescent="0.25">
      <c r="A77" s="14" t="s">
        <v>18</v>
      </c>
      <c r="B77" s="14" t="e">
        <f t="shared" ref="B77:M77" si="48">+B72/B76</f>
        <v>#DIV/0!</v>
      </c>
      <c r="C77" s="14" t="e">
        <f>+C72/C76</f>
        <v>#DIV/0!</v>
      </c>
      <c r="D77" s="14" t="e">
        <f t="shared" si="48"/>
        <v>#DIV/0!</v>
      </c>
      <c r="E77" s="14" t="e">
        <f t="shared" si="48"/>
        <v>#DIV/0!</v>
      </c>
      <c r="F77" s="14" t="e">
        <f t="shared" si="48"/>
        <v>#DIV/0!</v>
      </c>
      <c r="G77" s="14">
        <f t="shared" si="48"/>
        <v>1</v>
      </c>
      <c r="H77" s="14" t="e">
        <f t="shared" si="48"/>
        <v>#DIV/0!</v>
      </c>
      <c r="I77" s="14" t="e">
        <f t="shared" si="48"/>
        <v>#DIV/0!</v>
      </c>
      <c r="J77" s="14" t="e">
        <f t="shared" si="48"/>
        <v>#DIV/0!</v>
      </c>
      <c r="K77" s="14" t="e">
        <f t="shared" si="48"/>
        <v>#DIV/0!</v>
      </c>
      <c r="L77" s="14" t="e">
        <f t="shared" si="48"/>
        <v>#DIV/0!</v>
      </c>
      <c r="M77" s="14" t="e">
        <f t="shared" si="48"/>
        <v>#DIV/0!</v>
      </c>
      <c r="N77" s="14" t="e">
        <f>+N72/N76</f>
        <v>#DIV/0!</v>
      </c>
      <c r="O77" s="61"/>
      <c r="P77" s="14">
        <f>+P72/P76</f>
        <v>1</v>
      </c>
    </row>
    <row r="78" spans="1:16" x14ac:dyDescent="0.25">
      <c r="A78" s="33"/>
      <c r="B78" s="33"/>
      <c r="C78" s="33"/>
      <c r="D78" s="33"/>
      <c r="E78" s="33"/>
      <c r="F78" s="33"/>
      <c r="G78" s="33"/>
      <c r="H78" s="33"/>
      <c r="I78" s="33"/>
      <c r="J78" s="33"/>
      <c r="K78" s="33"/>
      <c r="L78" s="33"/>
      <c r="M78" s="33"/>
      <c r="N78" s="33"/>
      <c r="O78" s="64"/>
      <c r="P78" s="33"/>
    </row>
    <row r="79" spans="1:16" x14ac:dyDescent="0.25">
      <c r="A79" s="33"/>
      <c r="B79" s="33"/>
      <c r="C79" s="33"/>
      <c r="D79" s="33"/>
      <c r="E79" s="33"/>
      <c r="F79" s="61" t="s">
        <v>160</v>
      </c>
      <c r="G79" s="145">
        <f>P13+P20+P27+P34+P41+P48</f>
        <v>27094.636648</v>
      </c>
      <c r="H79" s="33"/>
      <c r="I79" s="33"/>
      <c r="J79" s="33"/>
      <c r="K79" s="33"/>
      <c r="L79" s="33"/>
      <c r="M79" s="33"/>
      <c r="N79" s="33"/>
      <c r="O79" s="48"/>
      <c r="P79" s="33"/>
    </row>
    <row r="80" spans="1:16" x14ac:dyDescent="0.25">
      <c r="A80" s="33"/>
      <c r="B80" s="33"/>
      <c r="C80" s="33"/>
      <c r="D80" s="33"/>
      <c r="E80" s="33"/>
      <c r="F80" s="61" t="s">
        <v>161</v>
      </c>
      <c r="G80" s="145">
        <f>P60</f>
        <v>26103.299803999998</v>
      </c>
      <c r="H80" s="33"/>
      <c r="I80" s="33"/>
      <c r="J80" s="33"/>
      <c r="K80" s="33"/>
      <c r="L80" s="33"/>
      <c r="M80" s="33"/>
      <c r="N80" s="33"/>
      <c r="O80" s="48"/>
      <c r="P80" s="33"/>
    </row>
    <row r="81" spans="6:7" x14ac:dyDescent="0.25">
      <c r="F81" s="146" t="s">
        <v>162</v>
      </c>
      <c r="G81" s="147">
        <f>G79/G80</f>
        <v>1.0379774530976382</v>
      </c>
    </row>
  </sheetData>
  <mergeCells count="13">
    <mergeCell ref="K9:K10"/>
    <mergeCell ref="N9:N10"/>
    <mergeCell ref="L9:L10"/>
    <mergeCell ref="M9:M10"/>
    <mergeCell ref="F9:F10"/>
    <mergeCell ref="G9:G10"/>
    <mergeCell ref="H9:H10"/>
    <mergeCell ref="I9:I10"/>
    <mergeCell ref="B9:B10"/>
    <mergeCell ref="D9:D10"/>
    <mergeCell ref="E9:E10"/>
    <mergeCell ref="J9:J10"/>
    <mergeCell ref="C9:C10"/>
  </mergeCells>
  <phoneticPr fontId="5" type="noConversion"/>
  <printOptions horizontalCentered="1" verticalCentered="1"/>
  <pageMargins left="0.19685039370078741" right="0.19685039370078741" top="0.19685039370078741" bottom="0.19685039370078741" header="0" footer="0"/>
  <pageSetup scale="70" orientation="landscape" horizontalDpi="300" verticalDpi="300" r:id="rId1"/>
  <headerFooter alignWithMargins="0">
    <oddFooter>&amp;RElaboro: Departamento de Planeacion Campeche</oddFooter>
  </headerFooter>
  <drawing r:id="rId2"/>
  <legacy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theme="8" tint="0.59999389629810485"/>
  </sheetPr>
  <dimension ref="A1:AF181"/>
  <sheetViews>
    <sheetView zoomScale="110" zoomScaleNormal="110" zoomScaleSheetLayoutView="100" workbookViewId="0">
      <selection activeCell="F18" sqref="F18"/>
    </sheetView>
  </sheetViews>
  <sheetFormatPr baseColWidth="10" defaultRowHeight="13.2" x14ac:dyDescent="0.25"/>
  <cols>
    <col min="1" max="1" width="14.109375" bestFit="1" customWidth="1"/>
    <col min="2" max="3" width="16" customWidth="1"/>
    <col min="4" max="5" width="15.6640625" customWidth="1"/>
    <col min="6" max="6" width="16.33203125" customWidth="1"/>
    <col min="7" max="8" width="15.6640625" customWidth="1"/>
    <col min="9" max="9" width="16.88671875" customWidth="1"/>
    <col min="10" max="11" width="15.6640625" customWidth="1"/>
    <col min="12" max="12" width="16" customWidth="1"/>
    <col min="13" max="16" width="15.6640625" customWidth="1"/>
    <col min="18" max="18" width="11.6640625" bestFit="1" customWidth="1"/>
  </cols>
  <sheetData>
    <row r="1" spans="1:32" x14ac:dyDescent="0.25">
      <c r="A1" s="361" t="s">
        <v>435</v>
      </c>
    </row>
    <row r="2" spans="1:32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32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32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32" x14ac:dyDescent="0.25">
      <c r="E5" s="398" t="s">
        <v>59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32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32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32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32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32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32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32" s="24" customFormat="1" x14ac:dyDescent="0.25">
      <c r="A12" s="271" t="s">
        <v>313</v>
      </c>
      <c r="B12" s="262"/>
      <c r="C12" s="262"/>
      <c r="D12" s="262"/>
      <c r="E12" s="262"/>
      <c r="F12" s="65"/>
      <c r="G12" s="66"/>
      <c r="H12" s="66"/>
      <c r="I12" s="66"/>
      <c r="J12" s="66"/>
      <c r="K12" s="36"/>
      <c r="L12" s="36"/>
      <c r="M12" s="36"/>
      <c r="N12" s="50"/>
      <c r="O12" s="50"/>
      <c r="P12" s="50"/>
    </row>
    <row r="13" spans="1:32" x14ac:dyDescent="0.25">
      <c r="A13" s="36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3596.1183259999998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3">
        <f>MAX(B13:N13)</f>
        <v>3596.1183259999998</v>
      </c>
    </row>
    <row r="14" spans="1:32" x14ac:dyDescent="0.25">
      <c r="A14" s="36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1525231.4899919999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1525231.4899919999</v>
      </c>
      <c r="P14" s="43">
        <f>SUM(B14:N14)/(COUNTIF(B14:N14,"&gt;0"))</f>
        <v>1525231.4899919999</v>
      </c>
    </row>
    <row r="15" spans="1:32" x14ac:dyDescent="0.25">
      <c r="A15" s="36" t="s">
        <v>16</v>
      </c>
      <c r="B15" s="37" t="e">
        <f>+((B13/B17)^2-(B13^2))^(0.5)</f>
        <v>#DIV/0!</v>
      </c>
      <c r="C15" s="37" t="e">
        <f>+((C13/C17)^2-(C13^2))^(0.5)</f>
        <v>#DIV/0!</v>
      </c>
      <c r="D15" s="37" t="e">
        <f t="shared" ref="D15:M15" si="0">+((D13/D17)^2-(D13^2))^(0.5)</f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696.17702269838094</v>
      </c>
      <c r="H15" s="37" t="e">
        <f t="shared" si="0"/>
        <v>#DIV/0!</v>
      </c>
      <c r="I15" s="37" t="e">
        <f t="shared" si="0"/>
        <v>#DIV/0!</v>
      </c>
      <c r="J15" s="37" t="e">
        <f t="shared" si="0"/>
        <v>#DIV/0!</v>
      </c>
      <c r="K15" s="37" t="e">
        <f t="shared" si="0"/>
        <v>#DIV/0!</v>
      </c>
      <c r="L15" s="37" t="e">
        <f t="shared" si="0"/>
        <v>#DIV/0!</v>
      </c>
      <c r="M15" s="37" t="e">
        <f t="shared" si="0"/>
        <v>#DIV/0!</v>
      </c>
      <c r="N15" s="37" t="e">
        <f>+((N13/N17)^2-(N13^2))^(0.5)</f>
        <v>#DIV/0!</v>
      </c>
      <c r="O15" s="37"/>
      <c r="P15" s="4">
        <f>HLOOKUP(P13,B13:N15,3,FALSE)</f>
        <v>696.17702269838094</v>
      </c>
    </row>
    <row r="16" spans="1:32" x14ac:dyDescent="0.25">
      <c r="A16" s="36" t="s">
        <v>8</v>
      </c>
      <c r="B16" s="37">
        <f>+B14/(24*B$8)</f>
        <v>0</v>
      </c>
      <c r="C16" s="37">
        <f>+C14/(24*C$8)</f>
        <v>0</v>
      </c>
      <c r="D16" s="37">
        <f t="shared" ref="D16:M16" si="1">+D14/(24*D$8)</f>
        <v>0</v>
      </c>
      <c r="E16" s="37">
        <f t="shared" si="1"/>
        <v>0</v>
      </c>
      <c r="F16" s="37">
        <f t="shared" si="1"/>
        <v>0</v>
      </c>
      <c r="G16" s="37">
        <f t="shared" si="1"/>
        <v>2050.0423252580645</v>
      </c>
      <c r="H16" s="37">
        <f t="shared" si="1"/>
        <v>0</v>
      </c>
      <c r="I16" s="37">
        <f t="shared" si="1"/>
        <v>0</v>
      </c>
      <c r="J16" s="37">
        <f t="shared" si="1"/>
        <v>0</v>
      </c>
      <c r="K16" s="37">
        <f t="shared" si="1"/>
        <v>0</v>
      </c>
      <c r="L16" s="37">
        <f t="shared" si="1"/>
        <v>0</v>
      </c>
      <c r="M16" s="37">
        <f t="shared" si="1"/>
        <v>0</v>
      </c>
      <c r="N16" s="37">
        <f>+N14/(24*N$8)</f>
        <v>0</v>
      </c>
      <c r="O16" s="6">
        <f>SUM(O14)/(24*O$8)</f>
        <v>174.1131837890411</v>
      </c>
      <c r="P16" s="4">
        <f>O14/(COUNTIF(B14:N14,"&gt;0")*720)</f>
        <v>2118.3770694333334</v>
      </c>
      <c r="AF16" s="24"/>
    </row>
    <row r="17" spans="1:16" x14ac:dyDescent="0.25">
      <c r="A17" s="36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0.98177199999999998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0.98177199999999998</v>
      </c>
    </row>
    <row r="18" spans="1:16" x14ac:dyDescent="0.25">
      <c r="A18" s="36" t="s">
        <v>17</v>
      </c>
      <c r="B18" s="37" t="e">
        <f>+B16/B13</f>
        <v>#DIV/0!</v>
      </c>
      <c r="C18" s="37" t="e">
        <f>+C16/C13</f>
        <v>#DIV/0!</v>
      </c>
      <c r="D18" s="37" t="e">
        <f t="shared" ref="D18:M18" si="2">+D16/D13</f>
        <v>#DIV/0!</v>
      </c>
      <c r="E18" s="37" t="e">
        <f t="shared" si="2"/>
        <v>#DIV/0!</v>
      </c>
      <c r="F18" s="37" t="e">
        <f t="shared" si="2"/>
        <v>#DIV/0!</v>
      </c>
      <c r="G18" s="37">
        <f t="shared" si="2"/>
        <v>0.5700708762657285</v>
      </c>
      <c r="H18" s="37" t="e">
        <f t="shared" si="2"/>
        <v>#DIV/0!</v>
      </c>
      <c r="I18" s="37" t="e">
        <f t="shared" si="2"/>
        <v>#DIV/0!</v>
      </c>
      <c r="J18" s="37" t="e">
        <f t="shared" si="2"/>
        <v>#DIV/0!</v>
      </c>
      <c r="K18" s="37" t="e">
        <f t="shared" si="2"/>
        <v>#DIV/0!</v>
      </c>
      <c r="L18" s="37" t="e">
        <f t="shared" si="2"/>
        <v>#DIV/0!</v>
      </c>
      <c r="M18" s="37" t="e">
        <f t="shared" si="2"/>
        <v>#DIV/0!</v>
      </c>
      <c r="N18" s="37" t="e">
        <f>+N16/N13</f>
        <v>#DIV/0!</v>
      </c>
      <c r="O18" s="37"/>
      <c r="P18" s="4">
        <f>+P16/P13</f>
        <v>0.5890732388079194</v>
      </c>
    </row>
    <row r="19" spans="1:16" s="24" customFormat="1" ht="12" customHeight="1" x14ac:dyDescent="0.25">
      <c r="A19" s="271" t="s">
        <v>314</v>
      </c>
      <c r="B19" s="262"/>
      <c r="C19" s="262"/>
      <c r="D19" s="262"/>
      <c r="E19" s="262"/>
      <c r="F19" s="65"/>
      <c r="G19" s="66"/>
      <c r="H19" s="66"/>
      <c r="I19" s="66"/>
      <c r="J19" s="66"/>
      <c r="K19" s="36"/>
      <c r="L19" s="36"/>
      <c r="M19" s="36"/>
      <c r="N19" s="36"/>
      <c r="O19" s="37"/>
      <c r="P19" s="37"/>
    </row>
    <row r="20" spans="1:16" x14ac:dyDescent="0.25">
      <c r="A20" s="36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4706.8116040000004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7">
        <f>MAX(B20:N20)</f>
        <v>4706.8116040000004</v>
      </c>
    </row>
    <row r="21" spans="1:16" x14ac:dyDescent="0.25">
      <c r="A21" s="36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2030536.8407910001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2030536.8407910001</v>
      </c>
      <c r="P21" s="43">
        <f>SUM(B21:N21)/(COUNTIF(B21:N21,"&gt;0"))</f>
        <v>2030536.8407910001</v>
      </c>
    </row>
    <row r="22" spans="1:16" x14ac:dyDescent="0.25">
      <c r="A22" s="36" t="s">
        <v>16</v>
      </c>
      <c r="B22" s="37" t="e">
        <f>+((B20/B24)^2-(B20^2))^(0.5)</f>
        <v>#DIV/0!</v>
      </c>
      <c r="C22" s="37" t="e">
        <f>+((C20/C24)^2-(C20^2))^(0.5)</f>
        <v>#DIV/0!</v>
      </c>
      <c r="D22" s="37" t="e">
        <f>+((D20/D24)^2-(D20^2))^(0.5)</f>
        <v>#DIV/0!</v>
      </c>
      <c r="E22" s="37" t="e">
        <f>+((E20/E24)^2-(E20^2))^(0.5)</f>
        <v>#DIV/0!</v>
      </c>
      <c r="F22" s="37" t="e">
        <f t="shared" ref="F22:M22" si="3">+((F20/F24)^2-(F20^2))^(0.5)</f>
        <v>#DIV/0!</v>
      </c>
      <c r="G22" s="37">
        <f t="shared" si="3"/>
        <v>437.80275268152172</v>
      </c>
      <c r="H22" s="37" t="e">
        <f t="shared" si="3"/>
        <v>#DIV/0!</v>
      </c>
      <c r="I22" s="37" t="e">
        <f t="shared" si="3"/>
        <v>#DIV/0!</v>
      </c>
      <c r="J22" s="37" t="e">
        <f t="shared" si="3"/>
        <v>#DIV/0!</v>
      </c>
      <c r="K22" s="37" t="e">
        <f t="shared" si="3"/>
        <v>#DIV/0!</v>
      </c>
      <c r="L22" s="37" t="e">
        <f t="shared" si="3"/>
        <v>#DIV/0!</v>
      </c>
      <c r="M22" s="37" t="e">
        <f t="shared" si="3"/>
        <v>#DIV/0!</v>
      </c>
      <c r="N22" s="37" t="e">
        <f>+((N20/N24)^2-(N20^2))^(0.5)</f>
        <v>#DIV/0!</v>
      </c>
      <c r="O22" s="37"/>
      <c r="P22" s="4">
        <f>HLOOKUP(P20,B20:N22,3,FALSE)</f>
        <v>437.80275268152172</v>
      </c>
    </row>
    <row r="23" spans="1:16" x14ac:dyDescent="0.25">
      <c r="A23" s="36" t="s">
        <v>8</v>
      </c>
      <c r="B23" s="37">
        <f>+B21/(24*B$8)</f>
        <v>0</v>
      </c>
      <c r="C23" s="37">
        <f>+C21/(24*C$8)</f>
        <v>0</v>
      </c>
      <c r="D23" s="37">
        <f>+D21/(24*D$8)</f>
        <v>0</v>
      </c>
      <c r="E23" s="37">
        <f>+E21/(24*E$8)</f>
        <v>0</v>
      </c>
      <c r="F23" s="37">
        <f t="shared" ref="F23:M23" si="4">+F21/(24*F$8)</f>
        <v>0</v>
      </c>
      <c r="G23" s="37">
        <f t="shared" si="4"/>
        <v>2729.2161838588709</v>
      </c>
      <c r="H23" s="37">
        <f t="shared" si="4"/>
        <v>0</v>
      </c>
      <c r="I23" s="37">
        <f t="shared" si="4"/>
        <v>0</v>
      </c>
      <c r="J23" s="37">
        <f t="shared" si="4"/>
        <v>0</v>
      </c>
      <c r="K23" s="37">
        <f t="shared" si="4"/>
        <v>0</v>
      </c>
      <c r="L23" s="37">
        <f t="shared" si="4"/>
        <v>0</v>
      </c>
      <c r="M23" s="37">
        <f t="shared" si="4"/>
        <v>0</v>
      </c>
      <c r="N23" s="37">
        <f>+N21/(24*N$8)</f>
        <v>0</v>
      </c>
      <c r="O23" s="6">
        <f>SUM(O21)/(24*O$8)</f>
        <v>231.79644301267123</v>
      </c>
      <c r="P23" s="4">
        <f>O21/(COUNTIF(B21:N21,"&gt;0")*720)</f>
        <v>2820.1900566541667</v>
      </c>
    </row>
    <row r="24" spans="1:16" x14ac:dyDescent="0.25">
      <c r="A24" s="36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0.99570199999999998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0.99570199999999998</v>
      </c>
    </row>
    <row r="25" spans="1:16" x14ac:dyDescent="0.25">
      <c r="A25" s="36" t="s">
        <v>17</v>
      </c>
      <c r="B25" s="37" t="e">
        <f>+B23/B20</f>
        <v>#DIV/0!</v>
      </c>
      <c r="C25" s="37" t="e">
        <f>+C23/C20</f>
        <v>#DIV/0!</v>
      </c>
      <c r="D25" s="37" t="e">
        <f t="shared" ref="D25:M25" si="5">+D23/D20</f>
        <v>#DIV/0!</v>
      </c>
      <c r="E25" s="37" t="e">
        <f t="shared" si="5"/>
        <v>#DIV/0!</v>
      </c>
      <c r="F25" s="37" t="e">
        <f t="shared" si="5"/>
        <v>#DIV/0!</v>
      </c>
      <c r="G25" s="37">
        <f t="shared" si="5"/>
        <v>0.57984393969359105</v>
      </c>
      <c r="H25" s="37" t="e">
        <f t="shared" si="5"/>
        <v>#DIV/0!</v>
      </c>
      <c r="I25" s="37" t="e">
        <f>+I23/I20</f>
        <v>#DIV/0!</v>
      </c>
      <c r="J25" s="37" t="e">
        <f t="shared" si="5"/>
        <v>#DIV/0!</v>
      </c>
      <c r="K25" s="37" t="e">
        <f t="shared" si="5"/>
        <v>#DIV/0!</v>
      </c>
      <c r="L25" s="37" t="e">
        <f t="shared" si="5"/>
        <v>#DIV/0!</v>
      </c>
      <c r="M25" s="37" t="e">
        <f t="shared" si="5"/>
        <v>#DIV/0!</v>
      </c>
      <c r="N25" s="37" t="e">
        <f>+N23/N20</f>
        <v>#DIV/0!</v>
      </c>
      <c r="O25" s="37"/>
      <c r="P25" s="4">
        <f>+P23/P20</f>
        <v>0.59917207101671077</v>
      </c>
    </row>
    <row r="26" spans="1:16" s="24" customFormat="1" x14ac:dyDescent="0.25">
      <c r="A26" s="271" t="s">
        <v>315</v>
      </c>
      <c r="B26" s="262"/>
      <c r="C26" s="262"/>
      <c r="D26" s="262"/>
      <c r="E26" s="262"/>
      <c r="F26" s="65"/>
      <c r="G26" s="66"/>
      <c r="H26" s="66"/>
      <c r="I26" s="66"/>
      <c r="J26" s="66"/>
      <c r="K26" s="36"/>
      <c r="L26" s="36"/>
      <c r="M26" s="36"/>
      <c r="N26" s="36"/>
      <c r="O26" s="37"/>
      <c r="P26" s="37"/>
    </row>
    <row r="27" spans="1:16" x14ac:dyDescent="0.25">
      <c r="A27" s="36" t="s">
        <v>6</v>
      </c>
      <c r="B27" s="381">
        <f>VLOOKUP($A$26,TABLA_1[],5,FALSE)</f>
        <v>0</v>
      </c>
      <c r="C27" s="381">
        <f>VLOOKUP($A$26,TABLA_2[],5,FALSE)</f>
        <v>0</v>
      </c>
      <c r="D27" s="381">
        <f>VLOOKUP($A$26,TABLA_3[],5,FALSE)</f>
        <v>0</v>
      </c>
      <c r="E27" s="381">
        <f>VLOOKUP($A$26,TABLA_4[],5,FALSE)</f>
        <v>0</v>
      </c>
      <c r="F27" s="381">
        <f>VLOOKUP($A$26,TABLA_5[],5,FALSE)</f>
        <v>0</v>
      </c>
      <c r="G27" s="381">
        <f>VLOOKUP($A$26,TABLA_6[],5,FALSE)</f>
        <v>3525.1966550000002</v>
      </c>
      <c r="H27" s="381">
        <f>VLOOKUP($A$26,TABLA_7[],5,FALSE)</f>
        <v>0</v>
      </c>
      <c r="I27" s="381">
        <f>VLOOKUP($A$26,TABLA_8[],5,FALSE)</f>
        <v>0</v>
      </c>
      <c r="J27" s="381">
        <f>VLOOKUP($A$26,TABLA_9[],5,FALSE)</f>
        <v>0</v>
      </c>
      <c r="K27" s="381">
        <f>VLOOKUP($A$26,TABLA_10[],5,FALSE)</f>
        <v>0</v>
      </c>
      <c r="L27" s="381">
        <f>VLOOKUP($A$26,TABLA_11[],5,FALSE)</f>
        <v>0</v>
      </c>
      <c r="M27" s="381">
        <f>VLOOKUP($A$26,TABLA_12[],5,FALSE)</f>
        <v>0</v>
      </c>
      <c r="N27" s="381">
        <f>VLOOKUP($A$26,TABLA_13[],5,FALSE)</f>
        <v>0</v>
      </c>
      <c r="O27" s="6"/>
      <c r="P27" s="43">
        <f>MAX(B27:N27)</f>
        <v>3525.1966550000002</v>
      </c>
    </row>
    <row r="28" spans="1:16" x14ac:dyDescent="0.25">
      <c r="A28" s="36" t="s">
        <v>7</v>
      </c>
      <c r="B28" s="382">
        <f>VLOOKUP($A$26,TABLA_1[],8,FALSE)</f>
        <v>0</v>
      </c>
      <c r="C28" s="382">
        <f>VLOOKUP($A$26,TABLA_2[],8,FALSE)</f>
        <v>0</v>
      </c>
      <c r="D28" s="382">
        <f>VLOOKUP($A$26,TABLA_3[],8,FALSE)</f>
        <v>0</v>
      </c>
      <c r="E28" s="382">
        <f>VLOOKUP($A$26,TABLA_4[],8,FALSE)</f>
        <v>0</v>
      </c>
      <c r="F28" s="382">
        <f>VLOOKUP($A$26,TABLA_5[],8,FALSE)</f>
        <v>0</v>
      </c>
      <c r="G28" s="382">
        <f>VLOOKUP($A$26,TABLA_6[],8,FALSE)</f>
        <v>1560590.2002270001</v>
      </c>
      <c r="H28" s="382">
        <f>VLOOKUP($A$26,TABLA_7[],8,FALSE)</f>
        <v>0</v>
      </c>
      <c r="I28" s="382">
        <f>VLOOKUP($A$26,TABLA_8[],8,FALSE)</f>
        <v>0</v>
      </c>
      <c r="J28" s="382">
        <f>VLOOKUP($A$26,TABLA_9[],8,FALSE)</f>
        <v>0</v>
      </c>
      <c r="K28" s="382">
        <f>VLOOKUP($A$26,TABLA_10[],8,FALSE)</f>
        <v>0</v>
      </c>
      <c r="L28" s="382">
        <f>VLOOKUP($A$26,TABLA_11[],8,FALSE)</f>
        <v>0</v>
      </c>
      <c r="M28" s="382">
        <f>VLOOKUP($A$26,TABLA_12[],8,FALSE)</f>
        <v>0</v>
      </c>
      <c r="N28" s="382">
        <f>VLOOKUP($A$26,TABLA_13[],8,FALSE)</f>
        <v>0</v>
      </c>
      <c r="O28" s="47">
        <f>SUM(B28:N28)</f>
        <v>1560590.2002270001</v>
      </c>
      <c r="P28" s="43">
        <f>SUM(B28:N28)/(COUNTIF(B28:N28,"&gt;0"))</f>
        <v>1560590.2002270001</v>
      </c>
    </row>
    <row r="29" spans="1:16" x14ac:dyDescent="0.25">
      <c r="A29" s="36" t="s">
        <v>16</v>
      </c>
      <c r="B29" s="37" t="e">
        <f>+((B27/B31)^2-(B27^2))^(0.5)</f>
        <v>#DIV/0!</v>
      </c>
      <c r="C29" s="37" t="e">
        <f t="shared" ref="C29:N29" si="6">+((C27/C31)^2-(C27^2))^(0.5)</f>
        <v>#DIV/0!</v>
      </c>
      <c r="D29" s="37" t="e">
        <f t="shared" si="6"/>
        <v>#DIV/0!</v>
      </c>
      <c r="E29" s="37" t="e">
        <f t="shared" si="6"/>
        <v>#DIV/0!</v>
      </c>
      <c r="F29" s="37" t="e">
        <f t="shared" si="6"/>
        <v>#DIV/0!</v>
      </c>
      <c r="G29" s="37">
        <f t="shared" si="6"/>
        <v>311.60608641817493</v>
      </c>
      <c r="H29" s="37" t="e">
        <f t="shared" si="6"/>
        <v>#DIV/0!</v>
      </c>
      <c r="I29" s="37" t="e">
        <f t="shared" si="6"/>
        <v>#DIV/0!</v>
      </c>
      <c r="J29" s="37" t="e">
        <f t="shared" si="6"/>
        <v>#DIV/0!</v>
      </c>
      <c r="K29" s="37" t="e">
        <f t="shared" si="6"/>
        <v>#DIV/0!</v>
      </c>
      <c r="L29" s="37" t="e">
        <f t="shared" si="6"/>
        <v>#DIV/0!</v>
      </c>
      <c r="M29" s="37">
        <f t="shared" si="6"/>
        <v>0</v>
      </c>
      <c r="N29" s="37">
        <f t="shared" si="6"/>
        <v>0</v>
      </c>
      <c r="O29" s="37"/>
      <c r="P29" s="4">
        <f>HLOOKUP(P27,B27:N29,3,FALSE)</f>
        <v>311.60608641817493</v>
      </c>
    </row>
    <row r="30" spans="1:16" x14ac:dyDescent="0.25">
      <c r="A30" s="36" t="s">
        <v>8</v>
      </c>
      <c r="B30" s="37">
        <f>+B28/(24*B$8)</f>
        <v>0</v>
      </c>
      <c r="C30" s="37">
        <f>+C28/(24*C$8)</f>
        <v>0</v>
      </c>
      <c r="D30" s="37">
        <f>+D28/(24*D$8)</f>
        <v>0</v>
      </c>
      <c r="E30" s="37">
        <f>+E28/(24*E$8)</f>
        <v>0</v>
      </c>
      <c r="F30" s="37">
        <f t="shared" ref="F30:M30" si="7">+F28/(24*F$8)</f>
        <v>0</v>
      </c>
      <c r="G30" s="37">
        <f t="shared" si="7"/>
        <v>2097.5674734233871</v>
      </c>
      <c r="H30" s="37">
        <f t="shared" si="7"/>
        <v>0</v>
      </c>
      <c r="I30" s="37">
        <f t="shared" si="7"/>
        <v>0</v>
      </c>
      <c r="J30" s="37">
        <f t="shared" si="7"/>
        <v>0</v>
      </c>
      <c r="K30" s="37">
        <f t="shared" si="7"/>
        <v>0</v>
      </c>
      <c r="L30" s="37">
        <f t="shared" si="7"/>
        <v>0</v>
      </c>
      <c r="M30" s="37">
        <f t="shared" si="7"/>
        <v>0</v>
      </c>
      <c r="N30" s="37">
        <f>+N28/(24*N$8)</f>
        <v>0</v>
      </c>
      <c r="O30" s="6">
        <f>SUM(O28)/(24*O$8)</f>
        <v>178.1495662359589</v>
      </c>
      <c r="P30" s="4">
        <f>O28/(COUNTIF(B28:N28,"&gt;0")*720)</f>
        <v>2167.4863892041667</v>
      </c>
    </row>
    <row r="31" spans="1:16" x14ac:dyDescent="0.25">
      <c r="A31" s="36" t="s">
        <v>9</v>
      </c>
      <c r="B31" s="383">
        <f>VLOOKUP($A$26,TABLA_1[],10,FALSE)</f>
        <v>0</v>
      </c>
      <c r="C31" s="383">
        <f>VLOOKUP($A$26,TABLA_2[],10,FALSE)</f>
        <v>0</v>
      </c>
      <c r="D31" s="383">
        <f>VLOOKUP($A$26,TABLA_3[],10,FALSE)</f>
        <v>0</v>
      </c>
      <c r="E31" s="383">
        <f>VLOOKUP($A$26,TABLA_4[],10,FALSE)</f>
        <v>0</v>
      </c>
      <c r="F31" s="383">
        <f>VLOOKUP($A$26,TABLA_5[],10,FALSE)</f>
        <v>0</v>
      </c>
      <c r="G31" s="383">
        <f>VLOOKUP($A$26,TABLA_6[],10,FALSE)</f>
        <v>0.996116</v>
      </c>
      <c r="H31" s="383">
        <f>VLOOKUP($A$26,TABLA_7[],10,FALSE)</f>
        <v>0</v>
      </c>
      <c r="I31" s="383">
        <f>VLOOKUP($A$26,TABLA_8[],10,FALSE)</f>
        <v>0</v>
      </c>
      <c r="J31" s="383">
        <f>VLOOKUP($A$26,TABLA_9[],10,FALSE)</f>
        <v>0</v>
      </c>
      <c r="K31" s="383">
        <f>VLOOKUP($A$26,TABLA_10[],10,FALSE)</f>
        <v>0</v>
      </c>
      <c r="L31" s="383">
        <f>VLOOKUP($A$26,TABLA_11[],10,FALSE)</f>
        <v>0</v>
      </c>
      <c r="M31" s="383">
        <f>VLOOKUP($A$26,TABLA_6[],10,FALSE)</f>
        <v>0.996116</v>
      </c>
      <c r="N31" s="383">
        <f>VLOOKUP($A$26,TABLA_6[],10,FALSE)</f>
        <v>0.996116</v>
      </c>
      <c r="O31" s="6"/>
      <c r="P31" s="4">
        <f>COS(ATAN(P29/P27))</f>
        <v>0.996116</v>
      </c>
    </row>
    <row r="32" spans="1:16" x14ac:dyDescent="0.25">
      <c r="A32" s="36" t="s">
        <v>17</v>
      </c>
      <c r="B32" s="37" t="e">
        <f>+B30/B27</f>
        <v>#DIV/0!</v>
      </c>
      <c r="C32" s="37" t="e">
        <f>+C30/C27</f>
        <v>#DIV/0!</v>
      </c>
      <c r="D32" s="37" t="e">
        <f t="shared" ref="D32:M32" si="8">+D30/D27</f>
        <v>#DIV/0!</v>
      </c>
      <c r="E32" s="37" t="e">
        <f t="shared" si="8"/>
        <v>#DIV/0!</v>
      </c>
      <c r="F32" s="37" t="e">
        <f t="shared" si="8"/>
        <v>#DIV/0!</v>
      </c>
      <c r="G32" s="37">
        <f t="shared" si="8"/>
        <v>0.59502140694712169</v>
      </c>
      <c r="H32" s="37" t="e">
        <f t="shared" si="8"/>
        <v>#DIV/0!</v>
      </c>
      <c r="I32" s="37" t="e">
        <f t="shared" si="8"/>
        <v>#DIV/0!</v>
      </c>
      <c r="J32" s="37" t="e">
        <f t="shared" si="8"/>
        <v>#DIV/0!</v>
      </c>
      <c r="K32" s="37" t="e">
        <f t="shared" si="8"/>
        <v>#DIV/0!</v>
      </c>
      <c r="L32" s="37" t="e">
        <f t="shared" si="8"/>
        <v>#DIV/0!</v>
      </c>
      <c r="M32" s="37" t="e">
        <f t="shared" si="8"/>
        <v>#DIV/0!</v>
      </c>
      <c r="N32" s="37" t="e">
        <f>+N30/N27</f>
        <v>#DIV/0!</v>
      </c>
      <c r="O32" s="37"/>
      <c r="P32" s="4">
        <f>+P30/P27</f>
        <v>0.614855453845359</v>
      </c>
    </row>
    <row r="33" spans="1:16" s="24" customFormat="1" x14ac:dyDescent="0.25">
      <c r="A33" s="271" t="s">
        <v>316</v>
      </c>
      <c r="B33" s="262"/>
      <c r="C33" s="262"/>
      <c r="D33" s="262"/>
      <c r="E33" s="262"/>
      <c r="F33" s="65"/>
      <c r="G33" s="66"/>
      <c r="H33" s="66"/>
      <c r="I33" s="66"/>
      <c r="J33" s="66"/>
      <c r="K33" s="36"/>
      <c r="L33" s="36"/>
      <c r="M33" s="36"/>
      <c r="N33" s="36"/>
      <c r="O33" s="50"/>
      <c r="P33" s="50"/>
    </row>
    <row r="34" spans="1:16" x14ac:dyDescent="0.25">
      <c r="A34" s="36" t="s">
        <v>6</v>
      </c>
      <c r="B34" s="380">
        <f>VLOOKUP($A$33,TABLA_1[],5,FALSE)</f>
        <v>0</v>
      </c>
      <c r="C34" s="380">
        <f>VLOOKUP($A$33,TABLA_2[],5,FALSE)</f>
        <v>0</v>
      </c>
      <c r="D34" s="380">
        <f>VLOOKUP($A$33,TABLA_3[],5,FALSE)</f>
        <v>0</v>
      </c>
      <c r="E34" s="380">
        <f>VLOOKUP($A$33,TABLA_4[],5,FALSE)</f>
        <v>0</v>
      </c>
      <c r="F34" s="380">
        <f>VLOOKUP($A$33,TABLA_5[],5,FALSE)</f>
        <v>0</v>
      </c>
      <c r="G34" s="380">
        <f>VLOOKUP($A$33,TABLA_6[],5,FALSE)</f>
        <v>3676.6433099999999</v>
      </c>
      <c r="H34" s="380">
        <f>VLOOKUP($A$33,TABLA_7[],5,FALSE)</f>
        <v>0</v>
      </c>
      <c r="I34" s="380">
        <f>VLOOKUP($A$33,TABLA_8[],5,FALSE)</f>
        <v>0</v>
      </c>
      <c r="J34" s="380">
        <f>VLOOKUP($A$33,TABLA_9[],5,FALSE)</f>
        <v>0</v>
      </c>
      <c r="K34" s="380">
        <f>VLOOKUP($A$33,TABLA_10[],5,FALSE)</f>
        <v>0</v>
      </c>
      <c r="L34" s="380">
        <f>VLOOKUP($A$33,TABLA_11[],5,FALSE)</f>
        <v>0</v>
      </c>
      <c r="M34" s="380">
        <f>VLOOKUP($A$33,TABLA_12[],5,FALSE)</f>
        <v>0</v>
      </c>
      <c r="N34" s="380">
        <f>VLOOKUP($A$33,TABLA_13[],5,FALSE)</f>
        <v>0</v>
      </c>
      <c r="O34" s="6"/>
      <c r="P34" s="43">
        <f>MAX(B34:N34)</f>
        <v>3676.6433099999999</v>
      </c>
    </row>
    <row r="35" spans="1:16" x14ac:dyDescent="0.25">
      <c r="A35" s="36" t="s">
        <v>7</v>
      </c>
      <c r="B35" s="380">
        <f>VLOOKUP($A$33,TABLA_1[],8,FALSE)</f>
        <v>0</v>
      </c>
      <c r="C35" s="380">
        <f>VLOOKUP($A$33,TABLA_2[],8,FALSE)</f>
        <v>0</v>
      </c>
      <c r="D35" s="380">
        <f>VLOOKUP($A$33,TABLA_3[],8,FALSE)</f>
        <v>0</v>
      </c>
      <c r="E35" s="380">
        <f>VLOOKUP($A$33,TABLA_4[],8,FALSE)</f>
        <v>0</v>
      </c>
      <c r="F35" s="380">
        <f>VLOOKUP($A$33,TABLA_5[],8,FALSE)</f>
        <v>0</v>
      </c>
      <c r="G35" s="380">
        <f>VLOOKUP($A$33,TABLA_6[],8,FALSE)</f>
        <v>1837856.1815289999</v>
      </c>
      <c r="H35" s="380">
        <f>VLOOKUP($A$33,TABLA_7[],8,FALSE)</f>
        <v>0</v>
      </c>
      <c r="I35" s="380">
        <f>VLOOKUP($A$33,TABLA_8[],8,FALSE)</f>
        <v>0</v>
      </c>
      <c r="J35" s="380">
        <f>VLOOKUP($A$33,TABLA_9[],8,FALSE)</f>
        <v>0</v>
      </c>
      <c r="K35" s="380">
        <f>VLOOKUP($A$33,TABLA_10[],8,FALSE)</f>
        <v>0</v>
      </c>
      <c r="L35" s="380">
        <f>VLOOKUP($A$33,TABLA_11[],8,FALSE)</f>
        <v>0</v>
      </c>
      <c r="M35" s="380">
        <f>VLOOKUP($A$33,TABLA_12[],8,FALSE)</f>
        <v>0</v>
      </c>
      <c r="N35" s="380">
        <f>VLOOKUP($A$33,TABLA_13[],8,FALSE)</f>
        <v>0</v>
      </c>
      <c r="O35" s="47">
        <f>SUM(B35:N35)</f>
        <v>1837856.1815289999</v>
      </c>
      <c r="P35" s="43">
        <f>SUM(B35:N35)/(COUNTIF(B35:N35,"&gt;0"))</f>
        <v>1837856.1815289999</v>
      </c>
    </row>
    <row r="36" spans="1:16" x14ac:dyDescent="0.25">
      <c r="A36" s="36" t="s">
        <v>16</v>
      </c>
      <c r="B36" s="37" t="e">
        <f>+((B34/B38)^2-(B34^2))^(0.5)</f>
        <v>#DIV/0!</v>
      </c>
      <c r="C36" s="37" t="e">
        <f>+((C34/C38)^2-(C34^2))^(0.5)</f>
        <v>#DIV/0!</v>
      </c>
      <c r="D36" s="37" t="e">
        <f>+((D34/D38)^2-(D34^2))^(0.5)</f>
        <v>#DIV/0!</v>
      </c>
      <c r="E36" s="37" t="e">
        <f>+((E34/E38)^2-(E34^2))^(0.5)</f>
        <v>#DIV/0!</v>
      </c>
      <c r="F36" s="37" t="e">
        <f t="shared" ref="F36:M36" si="9">+((F34/F38)^2-(F34^2))^(0.5)</f>
        <v>#DIV/0!</v>
      </c>
      <c r="G36" s="37">
        <f t="shared" si="9"/>
        <v>540.06640762518043</v>
      </c>
      <c r="H36" s="37" t="e">
        <f t="shared" si="9"/>
        <v>#DIV/0!</v>
      </c>
      <c r="I36" s="37" t="e">
        <f t="shared" si="9"/>
        <v>#DIV/0!</v>
      </c>
      <c r="J36" s="37" t="e">
        <f t="shared" si="9"/>
        <v>#DIV/0!</v>
      </c>
      <c r="K36" s="37" t="e">
        <f t="shared" si="9"/>
        <v>#DIV/0!</v>
      </c>
      <c r="L36" s="37" t="e">
        <f t="shared" si="9"/>
        <v>#DIV/0!</v>
      </c>
      <c r="M36" s="37" t="e">
        <f t="shared" si="9"/>
        <v>#DIV/0!</v>
      </c>
      <c r="N36" s="37" t="e">
        <f>+((N34/N38)^2-(N34^2))^(0.5)</f>
        <v>#DIV/0!</v>
      </c>
      <c r="O36" s="37"/>
      <c r="P36" s="4">
        <f>HLOOKUP(P34,B34:N36,3,FALSE)</f>
        <v>540.06640762518043</v>
      </c>
    </row>
    <row r="37" spans="1:16" x14ac:dyDescent="0.25">
      <c r="A37" s="36" t="s">
        <v>8</v>
      </c>
      <c r="B37" s="37">
        <f>+B35/(24*B$8)</f>
        <v>0</v>
      </c>
      <c r="C37" s="37">
        <f>+C35/(24*C$8)</f>
        <v>0</v>
      </c>
      <c r="D37" s="37">
        <f>+D35/(24*D$8)</f>
        <v>0</v>
      </c>
      <c r="E37" s="37">
        <f>+E35/(24*E$8)</f>
        <v>0</v>
      </c>
      <c r="F37" s="37">
        <f t="shared" ref="F37:M37" si="10">+F35/(24*F$8)</f>
        <v>0</v>
      </c>
      <c r="G37" s="37">
        <f>+G35/(24*G$8)</f>
        <v>2470.2368031303763</v>
      </c>
      <c r="H37" s="37">
        <f t="shared" si="10"/>
        <v>0</v>
      </c>
      <c r="I37" s="37">
        <f t="shared" si="10"/>
        <v>0</v>
      </c>
      <c r="J37" s="37">
        <f t="shared" si="10"/>
        <v>0</v>
      </c>
      <c r="K37" s="37">
        <f t="shared" si="10"/>
        <v>0</v>
      </c>
      <c r="L37" s="37">
        <f t="shared" si="10"/>
        <v>0</v>
      </c>
      <c r="M37" s="37">
        <f t="shared" si="10"/>
        <v>0</v>
      </c>
      <c r="N37" s="37">
        <f>+N35/(24*N$8)</f>
        <v>0</v>
      </c>
      <c r="O37" s="6">
        <f>SUM(O35)/(24*O$8)</f>
        <v>209.80093396449772</v>
      </c>
      <c r="P37" s="4">
        <f>O35/(COUNTIF(B35:N35,"&gt;0")*720)</f>
        <v>2552.5780299013886</v>
      </c>
    </row>
    <row r="38" spans="1:16" x14ac:dyDescent="0.25">
      <c r="A38" s="36" t="s">
        <v>9</v>
      </c>
      <c r="B38" s="380">
        <f>VLOOKUP($A$33,TABLA_1[],10,FALSE)</f>
        <v>0</v>
      </c>
      <c r="C38" s="380">
        <f>VLOOKUP($A$33,TABLA_2[],10,FALSE)</f>
        <v>0</v>
      </c>
      <c r="D38" s="380">
        <f>VLOOKUP($A$33,TABLA_3[],10,FALSE)</f>
        <v>0</v>
      </c>
      <c r="E38" s="380">
        <f>VLOOKUP($A$33,TABLA_4[],10,FALSE)</f>
        <v>0</v>
      </c>
      <c r="F38" s="380">
        <f>VLOOKUP($A$33,TABLA_5[],10,FALSE)</f>
        <v>0</v>
      </c>
      <c r="G38" s="380">
        <f>VLOOKUP($A$33,TABLA_6[],10,FALSE)</f>
        <v>0.98938300000000001</v>
      </c>
      <c r="H38" s="380">
        <f>VLOOKUP($A$33,TABLA_7[],10,FALSE)</f>
        <v>0</v>
      </c>
      <c r="I38" s="380">
        <f>VLOOKUP($A$33,TABLA_8[],10,FALSE)</f>
        <v>0</v>
      </c>
      <c r="J38" s="380">
        <f>VLOOKUP($A$33,TABLA_9[],10,FALSE)</f>
        <v>0</v>
      </c>
      <c r="K38" s="380">
        <f>VLOOKUP($A$33,TABLA_10[],10,FALSE)</f>
        <v>0</v>
      </c>
      <c r="L38" s="380">
        <f>VLOOKUP($A$33,TABLA_11[],10,FALSE)</f>
        <v>0</v>
      </c>
      <c r="M38" s="380">
        <f>VLOOKUP($A$33,TABLA_12[],10,FALSE)</f>
        <v>0</v>
      </c>
      <c r="N38" s="380">
        <f>VLOOKUP($A$33,TABLA_13[],10,FALSE)</f>
        <v>0</v>
      </c>
      <c r="O38" s="6"/>
      <c r="P38" s="4">
        <f>COS(ATAN(P36/P34))</f>
        <v>0.98938300000000001</v>
      </c>
    </row>
    <row r="39" spans="1:16" x14ac:dyDescent="0.25">
      <c r="A39" s="36" t="s">
        <v>17</v>
      </c>
      <c r="B39" s="37" t="e">
        <f t="shared" ref="B39:M39" si="11">+B37/B34</f>
        <v>#DIV/0!</v>
      </c>
      <c r="C39" s="37" t="e">
        <f>+C37/C34</f>
        <v>#DIV/0!</v>
      </c>
      <c r="D39" s="37" t="e">
        <f>+D37/D34</f>
        <v>#DIV/0!</v>
      </c>
      <c r="E39" s="37" t="e">
        <f t="shared" si="11"/>
        <v>#DIV/0!</v>
      </c>
      <c r="F39" s="37" t="e">
        <f t="shared" si="11"/>
        <v>#DIV/0!</v>
      </c>
      <c r="G39" s="37">
        <f t="shared" si="11"/>
        <v>0.67187284565017447</v>
      </c>
      <c r="H39" s="37" t="e">
        <f t="shared" si="11"/>
        <v>#DIV/0!</v>
      </c>
      <c r="I39" s="37" t="e">
        <f t="shared" si="11"/>
        <v>#DIV/0!</v>
      </c>
      <c r="J39" s="37" t="e">
        <f t="shared" si="11"/>
        <v>#DIV/0!</v>
      </c>
      <c r="K39" s="37" t="e">
        <f t="shared" si="11"/>
        <v>#DIV/0!</v>
      </c>
      <c r="L39" s="37" t="e">
        <f t="shared" si="11"/>
        <v>#DIV/0!</v>
      </c>
      <c r="M39" s="37" t="e">
        <f t="shared" si="11"/>
        <v>#DIV/0!</v>
      </c>
      <c r="N39" s="37" t="e">
        <f>+N37/N34</f>
        <v>#DIV/0!</v>
      </c>
      <c r="O39" s="37"/>
      <c r="P39" s="4">
        <f>+P37/P34</f>
        <v>0.6942686071718468</v>
      </c>
    </row>
    <row r="40" spans="1:16" s="24" customFormat="1" x14ac:dyDescent="0.25">
      <c r="A40" s="271" t="s">
        <v>317</v>
      </c>
      <c r="B40" s="65"/>
      <c r="C40" s="65"/>
      <c r="D40" s="65"/>
      <c r="E40" s="65"/>
      <c r="F40" s="65"/>
      <c r="G40" s="66"/>
      <c r="H40" s="66"/>
      <c r="I40" s="66"/>
      <c r="J40" s="66"/>
      <c r="K40" s="36"/>
      <c r="L40" s="36"/>
      <c r="M40" s="36"/>
      <c r="N40" s="50"/>
      <c r="O40" s="50"/>
      <c r="P40" s="50"/>
    </row>
    <row r="41" spans="1:16" x14ac:dyDescent="0.25">
      <c r="A41" s="36" t="s">
        <v>6</v>
      </c>
      <c r="B41" s="380">
        <f>VLOOKUP($A$40,TABLA_1[],5,FALSE)</f>
        <v>0</v>
      </c>
      <c r="C41" s="380">
        <f>VLOOKUP($A$40,TABLA_2[],5,FALSE)</f>
        <v>0</v>
      </c>
      <c r="D41" s="380">
        <f>VLOOKUP($A$40,TABLA_3[],5,FALSE)</f>
        <v>0</v>
      </c>
      <c r="E41" s="380">
        <f>VLOOKUP($A$40,TABLA_4[],5,FALSE)</f>
        <v>0</v>
      </c>
      <c r="F41" s="380">
        <f>VLOOKUP($A$40,TABLA_5[],5,FALSE)</f>
        <v>0</v>
      </c>
      <c r="G41" s="380">
        <f>VLOOKUP($A$40,TABLA_6[],5,FALSE)</f>
        <v>3728.7600090000001</v>
      </c>
      <c r="H41" s="380">
        <f>VLOOKUP($A$40,TABLA_7[],5,FALSE)</f>
        <v>0</v>
      </c>
      <c r="I41" s="380">
        <f>VLOOKUP($A$40,TABLA_8[],5,FALSE)</f>
        <v>0</v>
      </c>
      <c r="J41" s="380">
        <f>VLOOKUP($A$40,TABLA_9[],5,FALSE)</f>
        <v>0</v>
      </c>
      <c r="K41" s="380">
        <f>VLOOKUP($A$40,TABLA_10[],5,FALSE)</f>
        <v>0</v>
      </c>
      <c r="L41" s="380">
        <f>VLOOKUP($A$40,TABLA_11[],5,FALSE)</f>
        <v>0</v>
      </c>
      <c r="M41" s="380">
        <f>VLOOKUP($A$40,TABLA_12[],5,FALSE)</f>
        <v>0</v>
      </c>
      <c r="N41" s="380">
        <f>VLOOKUP($A$40,TABLA_13[],5,FALSE)</f>
        <v>0</v>
      </c>
      <c r="O41" s="6"/>
      <c r="P41" s="43">
        <f>MAX(B41:N41)</f>
        <v>3728.7600090000001</v>
      </c>
    </row>
    <row r="42" spans="1:16" x14ac:dyDescent="0.25">
      <c r="A42" s="36" t="s">
        <v>7</v>
      </c>
      <c r="B42" s="380">
        <f>VLOOKUP($A$40,TABLA_1[],8,FALSE)</f>
        <v>0</v>
      </c>
      <c r="C42" s="380">
        <f>VLOOKUP($A$40,TABLA_2[],8,FALSE)</f>
        <v>0</v>
      </c>
      <c r="D42" s="380">
        <f>VLOOKUP($A$40,TABLA_3[],8,FALSE)</f>
        <v>0</v>
      </c>
      <c r="E42" s="380">
        <f>VLOOKUP($A$40,TABLA_4[],8,FALSE)</f>
        <v>0</v>
      </c>
      <c r="F42" s="380">
        <f>VLOOKUP($A$40,TABLA_5[],8,FALSE)</f>
        <v>0</v>
      </c>
      <c r="G42" s="380">
        <f>VLOOKUP($A$40,TABLA_6[],8,FALSE)</f>
        <v>1967199.5027679999</v>
      </c>
      <c r="H42" s="380">
        <f>VLOOKUP($A$40,TABLA_7[],8,FALSE)</f>
        <v>0</v>
      </c>
      <c r="I42" s="380">
        <f>VLOOKUP($A$40,TABLA_8[],8,FALSE)</f>
        <v>0</v>
      </c>
      <c r="J42" s="380">
        <f>VLOOKUP($A$40,TABLA_9[],8,FALSE)</f>
        <v>0</v>
      </c>
      <c r="K42" s="380">
        <f>VLOOKUP($A$40,TABLA_10[],8,FALSE)</f>
        <v>0</v>
      </c>
      <c r="L42" s="380">
        <f>VLOOKUP($A$40,TABLA_11[],8,FALSE)</f>
        <v>0</v>
      </c>
      <c r="M42" s="380">
        <f>VLOOKUP($A$40,TABLA_12[],8,FALSE)</f>
        <v>0</v>
      </c>
      <c r="N42" s="380">
        <f>VLOOKUP($A$40,TABLA_13[],8,FALSE)</f>
        <v>0</v>
      </c>
      <c r="O42" s="47">
        <f>SUM(B42:N42)</f>
        <v>1967199.5027679999</v>
      </c>
      <c r="P42" s="43">
        <f>SUM(B42:N42)/(COUNTIF(B42:N42,"&gt;0"))</f>
        <v>1967199.5027679999</v>
      </c>
    </row>
    <row r="43" spans="1:16" x14ac:dyDescent="0.25">
      <c r="A43" s="36" t="s">
        <v>16</v>
      </c>
      <c r="B43" s="37" t="e">
        <f>+((B41/B45)^2-(B41^2))^(0.5)</f>
        <v>#DIV/0!</v>
      </c>
      <c r="C43" s="37" t="e">
        <f>+((C41/C45)^2-(C41^2))^(0.5)</f>
        <v>#DIV/0!</v>
      </c>
      <c r="D43" s="37" t="e">
        <f t="shared" ref="D43:N43" si="12">+((D41/D45)^2-(D41^2))^(0.5)</f>
        <v>#DIV/0!</v>
      </c>
      <c r="E43" s="37" t="e">
        <f t="shared" si="12"/>
        <v>#DIV/0!</v>
      </c>
      <c r="F43" s="37" t="e">
        <f t="shared" si="12"/>
        <v>#DIV/0!</v>
      </c>
      <c r="G43" s="37">
        <f t="shared" si="12"/>
        <v>210.98547085257465</v>
      </c>
      <c r="H43" s="37" t="e">
        <f t="shared" si="12"/>
        <v>#DIV/0!</v>
      </c>
      <c r="I43" s="37" t="e">
        <f t="shared" si="12"/>
        <v>#DIV/0!</v>
      </c>
      <c r="J43" s="37" t="e">
        <f t="shared" si="12"/>
        <v>#DIV/0!</v>
      </c>
      <c r="K43" s="37" t="e">
        <f t="shared" si="12"/>
        <v>#DIV/0!</v>
      </c>
      <c r="L43" s="37" t="e">
        <f t="shared" si="12"/>
        <v>#DIV/0!</v>
      </c>
      <c r="M43" s="37" t="e">
        <f t="shared" si="12"/>
        <v>#DIV/0!</v>
      </c>
      <c r="N43" s="37" t="e">
        <f t="shared" si="12"/>
        <v>#DIV/0!</v>
      </c>
      <c r="O43" s="37"/>
      <c r="P43" s="4">
        <f>HLOOKUP(P41,B41:N43,3,FALSE)</f>
        <v>210.98547085257465</v>
      </c>
    </row>
    <row r="44" spans="1:16" x14ac:dyDescent="0.25">
      <c r="A44" s="36" t="s">
        <v>8</v>
      </c>
      <c r="B44" s="37">
        <f>+B42/(24*B$8)</f>
        <v>0</v>
      </c>
      <c r="C44" s="37">
        <f>+C42/(24*C$8)</f>
        <v>0</v>
      </c>
      <c r="D44" s="37">
        <f t="shared" ref="D44:N44" si="13">+D42/(24*D$8)</f>
        <v>0</v>
      </c>
      <c r="E44" s="37">
        <f t="shared" si="13"/>
        <v>0</v>
      </c>
      <c r="F44" s="37">
        <f t="shared" si="13"/>
        <v>0</v>
      </c>
      <c r="G44" s="37">
        <f t="shared" si="13"/>
        <v>2644.0853531827956</v>
      </c>
      <c r="H44" s="37">
        <f t="shared" si="13"/>
        <v>0</v>
      </c>
      <c r="I44" s="37">
        <f t="shared" si="13"/>
        <v>0</v>
      </c>
      <c r="J44" s="37">
        <f t="shared" si="13"/>
        <v>0</v>
      </c>
      <c r="K44" s="37">
        <f t="shared" si="13"/>
        <v>0</v>
      </c>
      <c r="L44" s="37">
        <f t="shared" si="13"/>
        <v>0</v>
      </c>
      <c r="M44" s="37">
        <f t="shared" si="13"/>
        <v>0</v>
      </c>
      <c r="N44" s="37">
        <f t="shared" si="13"/>
        <v>0</v>
      </c>
      <c r="O44" s="6">
        <f>SUM(O42)/(24*O$8)</f>
        <v>224.56615328401824</v>
      </c>
      <c r="P44" s="4">
        <f>O42/(COUNTIF(B42:N42,"&gt;0")*720)</f>
        <v>2732.2215316222218</v>
      </c>
    </row>
    <row r="45" spans="1:16" x14ac:dyDescent="0.25">
      <c r="A45" s="36" t="s">
        <v>9</v>
      </c>
      <c r="B45" s="380">
        <f>VLOOKUP($A$40,TABLA_1[],10,FALSE)</f>
        <v>0</v>
      </c>
      <c r="C45" s="380">
        <f>VLOOKUP($A$40,TABLA_2[],10,FALSE)</f>
        <v>0</v>
      </c>
      <c r="D45" s="380">
        <f>VLOOKUP($A$40,TABLA_3[],10,FALSE)</f>
        <v>0</v>
      </c>
      <c r="E45" s="380">
        <f>VLOOKUP($A$40,TABLA_4[],10,FALSE)</f>
        <v>0</v>
      </c>
      <c r="F45" s="380">
        <f>VLOOKUP($A$40,TABLA_5[],10,FALSE)</f>
        <v>0</v>
      </c>
      <c r="G45" s="380">
        <f>VLOOKUP($A$40,TABLA_6[],10,FALSE)</f>
        <v>0.99840300000000004</v>
      </c>
      <c r="H45" s="380">
        <f>VLOOKUP($A$40,TABLA_7[],10,FALSE)</f>
        <v>0</v>
      </c>
      <c r="I45" s="380">
        <f>VLOOKUP($A$40,TABLA_8[],10,FALSE)</f>
        <v>0</v>
      </c>
      <c r="J45" s="380">
        <f>VLOOKUP($A$40,TABLA_9[],10,FALSE)</f>
        <v>0</v>
      </c>
      <c r="K45" s="380">
        <f>VLOOKUP($A$40,TABLA_10[],10,FALSE)</f>
        <v>0</v>
      </c>
      <c r="L45" s="380">
        <f>VLOOKUP($A$40,TABLA_11[],10,FALSE)</f>
        <v>0</v>
      </c>
      <c r="M45" s="380">
        <f>VLOOKUP($A$40,TABLA_12[],10,FALSE)</f>
        <v>0</v>
      </c>
      <c r="N45" s="380">
        <f>VLOOKUP($A$40,TABLA_13[],10,FALSE)</f>
        <v>0</v>
      </c>
      <c r="O45" s="6"/>
      <c r="P45" s="4">
        <f>COS(ATAN(P43/P41))</f>
        <v>0.99840299999999993</v>
      </c>
    </row>
    <row r="46" spans="1:16" x14ac:dyDescent="0.25">
      <c r="A46" s="36" t="s">
        <v>17</v>
      </c>
      <c r="B46" s="37" t="e">
        <f t="shared" ref="B46:N46" si="14">+B44/B41</f>
        <v>#DIV/0!</v>
      </c>
      <c r="C46" s="37" t="e">
        <f>+C44/C41</f>
        <v>#DIV/0!</v>
      </c>
      <c r="D46" s="37" t="e">
        <f t="shared" si="14"/>
        <v>#DIV/0!</v>
      </c>
      <c r="E46" s="37" t="e">
        <f t="shared" si="14"/>
        <v>#DIV/0!</v>
      </c>
      <c r="F46" s="37" t="e">
        <f t="shared" si="14"/>
        <v>#DIV/0!</v>
      </c>
      <c r="G46" s="37">
        <f t="shared" si="14"/>
        <v>0.70910580107082333</v>
      </c>
      <c r="H46" s="37" t="e">
        <f t="shared" si="14"/>
        <v>#DIV/0!</v>
      </c>
      <c r="I46" s="37" t="e">
        <f t="shared" si="14"/>
        <v>#DIV/0!</v>
      </c>
      <c r="J46" s="37" t="e">
        <f t="shared" si="14"/>
        <v>#DIV/0!</v>
      </c>
      <c r="K46" s="37" t="e">
        <f t="shared" si="14"/>
        <v>#DIV/0!</v>
      </c>
      <c r="L46" s="37" t="e">
        <f t="shared" si="14"/>
        <v>#DIV/0!</v>
      </c>
      <c r="M46" s="37" t="e">
        <f t="shared" si="14"/>
        <v>#DIV/0!</v>
      </c>
      <c r="N46" s="37" t="e">
        <f t="shared" si="14"/>
        <v>#DIV/0!</v>
      </c>
      <c r="O46" s="37"/>
      <c r="P46" s="4">
        <f>+P44/P41</f>
        <v>0.73274266110651742</v>
      </c>
    </row>
    <row r="47" spans="1:16" x14ac:dyDescent="0.25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</row>
    <row r="48" spans="1:16" x14ac:dyDescent="0.25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</row>
    <row r="49" spans="1:18" x14ac:dyDescent="0.25">
      <c r="A49" s="73" t="s">
        <v>10</v>
      </c>
      <c r="B49" s="72"/>
      <c r="C49" s="72"/>
      <c r="D49" s="72"/>
      <c r="E49" s="72"/>
      <c r="F49" s="72"/>
      <c r="G49" s="73"/>
      <c r="H49" s="73"/>
      <c r="I49" s="73"/>
      <c r="J49" s="73"/>
      <c r="K49" s="73"/>
      <c r="L49" s="53"/>
      <c r="M49" s="53"/>
      <c r="N49" s="53"/>
      <c r="O49" s="53"/>
      <c r="P49" s="8"/>
    </row>
    <row r="50" spans="1:18" x14ac:dyDescent="0.25">
      <c r="A50" s="54" t="s">
        <v>11</v>
      </c>
      <c r="B50" s="62">
        <f>+B13+B20+B27+B34+B41</f>
        <v>0</v>
      </c>
      <c r="C50" s="62">
        <f>+C13+C20+C27+C34+C41</f>
        <v>0</v>
      </c>
      <c r="D50" s="62">
        <f t="shared" ref="D50:N50" si="15">+D13+D20+D27+D34+D41</f>
        <v>0</v>
      </c>
      <c r="E50" s="62">
        <f t="shared" si="15"/>
        <v>0</v>
      </c>
      <c r="F50" s="62">
        <f t="shared" si="15"/>
        <v>0</v>
      </c>
      <c r="G50" s="62">
        <f t="shared" si="15"/>
        <v>19233.529903999999</v>
      </c>
      <c r="H50" s="62">
        <f t="shared" si="15"/>
        <v>0</v>
      </c>
      <c r="I50" s="62">
        <f t="shared" si="15"/>
        <v>0</v>
      </c>
      <c r="J50" s="62">
        <f t="shared" si="15"/>
        <v>0</v>
      </c>
      <c r="K50" s="62">
        <f t="shared" si="15"/>
        <v>0</v>
      </c>
      <c r="L50" s="62">
        <f t="shared" si="15"/>
        <v>0</v>
      </c>
      <c r="M50" s="62">
        <f t="shared" si="15"/>
        <v>0</v>
      </c>
      <c r="N50" s="62">
        <f t="shared" si="15"/>
        <v>0</v>
      </c>
      <c r="O50" s="54"/>
      <c r="P50" s="42">
        <f>MAX(B50:N50)</f>
        <v>19233.529903999999</v>
      </c>
    </row>
    <row r="51" spans="1:18" x14ac:dyDescent="0.25">
      <c r="A51" s="54" t="s">
        <v>7</v>
      </c>
      <c r="B51" s="62">
        <f>+B14+B21+B28+B35+B42</f>
        <v>0</v>
      </c>
      <c r="C51" s="62">
        <f>+C14+C21+C28+C35+C42</f>
        <v>0</v>
      </c>
      <c r="D51" s="62">
        <f t="shared" ref="D51:N51" si="16">+D14+D21+D28+D35+D42</f>
        <v>0</v>
      </c>
      <c r="E51" s="62">
        <f t="shared" si="16"/>
        <v>0</v>
      </c>
      <c r="F51" s="62">
        <f t="shared" si="16"/>
        <v>0</v>
      </c>
      <c r="G51" s="62">
        <f t="shared" si="16"/>
        <v>8921414.215307001</v>
      </c>
      <c r="H51" s="62">
        <f t="shared" si="16"/>
        <v>0</v>
      </c>
      <c r="I51" s="62">
        <f t="shared" si="16"/>
        <v>0</v>
      </c>
      <c r="J51" s="62">
        <f t="shared" si="16"/>
        <v>0</v>
      </c>
      <c r="K51" s="62">
        <f t="shared" si="16"/>
        <v>0</v>
      </c>
      <c r="L51" s="62">
        <f t="shared" si="16"/>
        <v>0</v>
      </c>
      <c r="M51" s="62">
        <f t="shared" si="16"/>
        <v>0</v>
      </c>
      <c r="N51" s="62">
        <f t="shared" si="16"/>
        <v>0</v>
      </c>
      <c r="O51" s="62">
        <f>SUM(B51:N51)</f>
        <v>8921414.215307001</v>
      </c>
      <c r="P51" s="9"/>
    </row>
    <row r="52" spans="1:18" s="24" customFormat="1" x14ac:dyDescent="0.25">
      <c r="A52" s="272" t="s">
        <v>12</v>
      </c>
      <c r="B52" s="376" t="s">
        <v>487</v>
      </c>
      <c r="C52" s="246"/>
      <c r="D52" s="246"/>
      <c r="E52" s="246"/>
      <c r="F52" s="246"/>
      <c r="G52" s="247"/>
      <c r="H52" s="247"/>
      <c r="I52" s="247"/>
      <c r="J52" s="247"/>
      <c r="K52" s="36"/>
      <c r="L52" s="36"/>
      <c r="M52" s="36"/>
      <c r="N52" s="36"/>
      <c r="O52" s="36"/>
      <c r="P52" s="36"/>
    </row>
    <row r="53" spans="1:18" x14ac:dyDescent="0.25">
      <c r="A53" s="36" t="s">
        <v>6</v>
      </c>
      <c r="B53" s="380">
        <f>VLOOKUP($B$52,BancoTabla_1[],5,FALSE)</f>
        <v>0</v>
      </c>
      <c r="C53" s="380">
        <f>VLOOKUP($B$52,BancoTabla_2[],5,FALSE)</f>
        <v>0</v>
      </c>
      <c r="D53" s="380">
        <f>VLOOKUP($B$52,BancoTabla_3[],5,FALSE)</f>
        <v>0</v>
      </c>
      <c r="E53" s="380">
        <f>VLOOKUP($B$52,BancoTabla_4[],5,FALSE)</f>
        <v>0</v>
      </c>
      <c r="F53" s="380">
        <f>VLOOKUP($B$52,BancoTabla_5[],5,FALSE)</f>
        <v>0</v>
      </c>
      <c r="G53" s="380">
        <f>VLOOKUP($B$52,BancoTabla_6[],5,FALSE)</f>
        <v>18347.733398</v>
      </c>
      <c r="H53" s="380">
        <f>VLOOKUP($B$52,BancoTabla_7[],5,FALSE)</f>
        <v>0</v>
      </c>
      <c r="I53" s="380">
        <f>VLOOKUP($B$52,BancoTabla_8[],5,FALSE)</f>
        <v>0</v>
      </c>
      <c r="J53" s="380">
        <f>VLOOKUP($B$52,BancoTabla_9[],5,FALSE)</f>
        <v>0</v>
      </c>
      <c r="K53" s="380">
        <f>VLOOKUP($B$52,BancoTabla_10[],5,FALSE)</f>
        <v>0</v>
      </c>
      <c r="L53" s="380">
        <f>VLOOKUP($B$52,BancoTabla_11[],5,FALSE)</f>
        <v>0</v>
      </c>
      <c r="M53" s="380">
        <f>VLOOKUP($B$52,BancoTabla_12[],5,FALSE)</f>
        <v>0</v>
      </c>
      <c r="N53" s="380">
        <f>VLOOKUP($B$52,BancoTabla_13[],5,FALSE)</f>
        <v>0</v>
      </c>
      <c r="O53" s="79"/>
      <c r="P53" s="43">
        <f>MAX(B53:N53)</f>
        <v>18347.733398</v>
      </c>
      <c r="Q53" s="334">
        <f>P53/1000</f>
        <v>18.347733397999999</v>
      </c>
    </row>
    <row r="54" spans="1:18" x14ac:dyDescent="0.25">
      <c r="A54" s="36" t="s">
        <v>7</v>
      </c>
      <c r="B54" s="380">
        <f>VLOOKUP($B$52,BancoTabla_1[],8,FALSE)</f>
        <v>0</v>
      </c>
      <c r="C54" s="380">
        <f>VLOOKUP($B$52,BancoTabla_2[],8,FALSE)</f>
        <v>0</v>
      </c>
      <c r="D54" s="380">
        <f>VLOOKUP($B$52,BancoTabla_3[],8,FALSE)</f>
        <v>0</v>
      </c>
      <c r="E54" s="380">
        <f>VLOOKUP($B$52,BancoTabla_4[],8,FALSE)</f>
        <v>0</v>
      </c>
      <c r="F54" s="380">
        <f>VLOOKUP($B$52,BancoTabla_5[],8,FALSE)</f>
        <v>0</v>
      </c>
      <c r="G54" s="380">
        <f>VLOOKUP($B$52,BancoTabla_6[],8,FALSE)</f>
        <v>8931307.2036390007</v>
      </c>
      <c r="H54" s="380">
        <f>VLOOKUP($B$52,BancoTabla_7[],8,FALSE)</f>
        <v>0</v>
      </c>
      <c r="I54" s="380">
        <f>VLOOKUP($B$52,BancoTabla_8[],8,FALSE)</f>
        <v>0</v>
      </c>
      <c r="J54" s="380">
        <f>VLOOKUP($B$52,BancoTabla_9[],8,FALSE)</f>
        <v>0</v>
      </c>
      <c r="K54" s="380">
        <f>VLOOKUP($B$52,BancoTabla_10[],8,FALSE)</f>
        <v>0</v>
      </c>
      <c r="L54" s="380">
        <f>VLOOKUP($B$52,BancoTabla_11[],8,FALSE)</f>
        <v>0</v>
      </c>
      <c r="M54" s="380">
        <f>VLOOKUP($B$52,BancoTabla_12[],8,FALSE)</f>
        <v>0</v>
      </c>
      <c r="N54" s="380">
        <f>VLOOKUP($B$52,BancoTabla_13[],8,FALSE)</f>
        <v>0</v>
      </c>
      <c r="O54" s="47">
        <f>SUM(B54:N54)</f>
        <v>8931307.2036390007</v>
      </c>
      <c r="P54" s="4">
        <f>SUM(B54:N54)/(COUNTIF(B54:N54,"&gt;0"))</f>
        <v>8931307.2036390007</v>
      </c>
      <c r="R54" s="39"/>
    </row>
    <row r="55" spans="1:18" x14ac:dyDescent="0.25">
      <c r="A55" s="36" t="s">
        <v>16</v>
      </c>
      <c r="B55" s="37" t="e">
        <f t="shared" ref="B55:N55" si="17">+((B53/B57)^2-(B53^2))^(0.5)</f>
        <v>#DIV/0!</v>
      </c>
      <c r="C55" s="37" t="e">
        <f>+((C53/C57)^2-(C53^2))^(0.5)</f>
        <v>#DIV/0!</v>
      </c>
      <c r="D55" s="37" t="e">
        <f t="shared" si="17"/>
        <v>#DIV/0!</v>
      </c>
      <c r="E55" s="37" t="e">
        <f t="shared" si="17"/>
        <v>#DIV/0!</v>
      </c>
      <c r="F55" s="37" t="e">
        <f t="shared" si="17"/>
        <v>#DIV/0!</v>
      </c>
      <c r="G55" s="37">
        <f t="shared" si="17"/>
        <v>283.08031029838673</v>
      </c>
      <c r="H55" s="37" t="e">
        <f t="shared" si="17"/>
        <v>#DIV/0!</v>
      </c>
      <c r="I55" s="37" t="e">
        <f t="shared" si="17"/>
        <v>#DIV/0!</v>
      </c>
      <c r="J55" s="37" t="e">
        <f t="shared" si="17"/>
        <v>#DIV/0!</v>
      </c>
      <c r="K55" s="37" t="e">
        <f t="shared" si="17"/>
        <v>#DIV/0!</v>
      </c>
      <c r="L55" s="37" t="e">
        <f t="shared" si="17"/>
        <v>#DIV/0!</v>
      </c>
      <c r="M55" s="37" t="e">
        <f t="shared" si="17"/>
        <v>#DIV/0!</v>
      </c>
      <c r="N55" s="37" t="e">
        <f t="shared" si="17"/>
        <v>#DIV/0!</v>
      </c>
      <c r="O55" s="37"/>
      <c r="P55" s="4">
        <f>HLOOKUP(P53,B53:N55,3,FALSE)</f>
        <v>283.08031029838673</v>
      </c>
    </row>
    <row r="56" spans="1:18" x14ac:dyDescent="0.25">
      <c r="A56" s="36" t="s">
        <v>8</v>
      </c>
      <c r="B56" s="37">
        <f t="shared" ref="B56:N56" si="18">+B54/(24*B$8)</f>
        <v>0</v>
      </c>
      <c r="C56" s="37">
        <f>+C54/(24*C$8)</f>
        <v>0</v>
      </c>
      <c r="D56" s="37">
        <f>+D54/(24*D$8)</f>
        <v>0</v>
      </c>
      <c r="E56" s="37">
        <f t="shared" si="18"/>
        <v>0</v>
      </c>
      <c r="F56" s="37">
        <f t="shared" si="18"/>
        <v>0</v>
      </c>
      <c r="G56" s="37">
        <f t="shared" si="18"/>
        <v>12004.445166181453</v>
      </c>
      <c r="H56" s="37">
        <f t="shared" si="18"/>
        <v>0</v>
      </c>
      <c r="I56" s="37">
        <f t="shared" si="18"/>
        <v>0</v>
      </c>
      <c r="J56" s="37">
        <f t="shared" si="18"/>
        <v>0</v>
      </c>
      <c r="K56" s="37">
        <f t="shared" si="18"/>
        <v>0</v>
      </c>
      <c r="L56" s="37">
        <f t="shared" si="18"/>
        <v>0</v>
      </c>
      <c r="M56" s="37">
        <f t="shared" si="18"/>
        <v>0</v>
      </c>
      <c r="N56" s="37">
        <f t="shared" si="18"/>
        <v>0</v>
      </c>
      <c r="O56" s="6">
        <f>SUM(O54)/(24*O$8)</f>
        <v>1019.5556168537672</v>
      </c>
      <c r="P56" s="4">
        <f>O54/(COUNTIF(B54:N54,"&gt;0")*720)</f>
        <v>12404.593338387502</v>
      </c>
    </row>
    <row r="57" spans="1:18" x14ac:dyDescent="0.25">
      <c r="A57" s="36" t="s">
        <v>9</v>
      </c>
      <c r="B57" s="380">
        <f>VLOOKUP($B$52,BancoTabla_1[],10,FALSE)</f>
        <v>0</v>
      </c>
      <c r="C57" s="380">
        <f>VLOOKUP($B$52,BancoTabla_2[],10,FALSE)</f>
        <v>0</v>
      </c>
      <c r="D57" s="380">
        <f>VLOOKUP($B$52,BancoTabla_3[],10,FALSE)</f>
        <v>0</v>
      </c>
      <c r="E57" s="380">
        <f>VLOOKUP($B$52,BancoTabla_4[],10,FALSE)</f>
        <v>0</v>
      </c>
      <c r="F57" s="380">
        <f>VLOOKUP($B$52,BancoTabla_5[],10,FALSE)</f>
        <v>0</v>
      </c>
      <c r="G57" s="380">
        <f>VLOOKUP($B$52,BancoTabla_6[],10,FALSE)</f>
        <v>0.99988100000000002</v>
      </c>
      <c r="H57" s="380">
        <f>VLOOKUP($B$52,BancoTabla_7[],10,FALSE)</f>
        <v>0</v>
      </c>
      <c r="I57" s="380">
        <f>VLOOKUP($B$52,BancoTabla_8[],10,FALSE)</f>
        <v>0</v>
      </c>
      <c r="J57" s="380">
        <f>VLOOKUP($B$52,BancoTabla_9[],10,FALSE)</f>
        <v>0</v>
      </c>
      <c r="K57" s="380">
        <f>VLOOKUP($B$52,BancoTabla_10[],10,FALSE)</f>
        <v>0</v>
      </c>
      <c r="L57" s="380">
        <f>VLOOKUP($B$52,BancoTabla_11[],10,FALSE)</f>
        <v>0</v>
      </c>
      <c r="M57" s="380">
        <f>VLOOKUP($B$52,BancoTabla_12[],10,FALSE)</f>
        <v>0</v>
      </c>
      <c r="N57" s="380">
        <f>VLOOKUP($B$52,BancoTabla_13[],10,FALSE)</f>
        <v>0</v>
      </c>
      <c r="O57" s="6"/>
      <c r="P57" s="4">
        <f>COS(ATAN(P55/P53))</f>
        <v>0.99988100000000002</v>
      </c>
    </row>
    <row r="58" spans="1:18" x14ac:dyDescent="0.25">
      <c r="A58" s="36" t="s">
        <v>17</v>
      </c>
      <c r="B58" s="37" t="e">
        <f t="shared" ref="B58:N58" si="19">+B56/B53</f>
        <v>#DIV/0!</v>
      </c>
      <c r="C58" s="37" t="e">
        <f>+C56/C53</f>
        <v>#DIV/0!</v>
      </c>
      <c r="D58" s="37" t="e">
        <f>+D56/D53</f>
        <v>#DIV/0!</v>
      </c>
      <c r="E58" s="37" t="e">
        <f t="shared" si="19"/>
        <v>#DIV/0!</v>
      </c>
      <c r="F58" s="37" t="e">
        <f t="shared" si="19"/>
        <v>#DIV/0!</v>
      </c>
      <c r="G58" s="37">
        <f t="shared" si="19"/>
        <v>0.65427401334979074</v>
      </c>
      <c r="H58" s="37" t="e">
        <f t="shared" si="19"/>
        <v>#DIV/0!</v>
      </c>
      <c r="I58" s="37" t="e">
        <f t="shared" si="19"/>
        <v>#DIV/0!</v>
      </c>
      <c r="J58" s="37" t="e">
        <f t="shared" si="19"/>
        <v>#DIV/0!</v>
      </c>
      <c r="K58" s="37" t="e">
        <f t="shared" si="19"/>
        <v>#DIV/0!</v>
      </c>
      <c r="L58" s="37" t="e">
        <f t="shared" si="19"/>
        <v>#DIV/0!</v>
      </c>
      <c r="M58" s="37" t="e">
        <f t="shared" si="19"/>
        <v>#DIV/0!</v>
      </c>
      <c r="N58" s="37" t="e">
        <f t="shared" si="19"/>
        <v>#DIV/0!</v>
      </c>
      <c r="O58" s="6"/>
      <c r="P58" s="4">
        <f>+P56/P53</f>
        <v>0.67608314712811712</v>
      </c>
    </row>
    <row r="59" spans="1:18" x14ac:dyDescent="0.25">
      <c r="A59" s="36" t="s">
        <v>18</v>
      </c>
      <c r="B59" s="37" t="e">
        <f t="shared" ref="B59:N59" si="20">+B50/B53</f>
        <v>#DIV/0!</v>
      </c>
      <c r="C59" s="37" t="e">
        <f>+C50/C53</f>
        <v>#DIV/0!</v>
      </c>
      <c r="D59" s="37" t="e">
        <f t="shared" si="20"/>
        <v>#DIV/0!</v>
      </c>
      <c r="E59" s="37" t="e">
        <f t="shared" si="20"/>
        <v>#DIV/0!</v>
      </c>
      <c r="F59" s="37" t="e">
        <f t="shared" si="20"/>
        <v>#DIV/0!</v>
      </c>
      <c r="G59" s="37">
        <f t="shared" si="20"/>
        <v>1.0482782525113732</v>
      </c>
      <c r="H59" s="37" t="e">
        <f t="shared" si="20"/>
        <v>#DIV/0!</v>
      </c>
      <c r="I59" s="37" t="e">
        <f t="shared" si="20"/>
        <v>#DIV/0!</v>
      </c>
      <c r="J59" s="37" t="e">
        <f t="shared" si="20"/>
        <v>#DIV/0!</v>
      </c>
      <c r="K59" s="37" t="e">
        <f t="shared" si="20"/>
        <v>#DIV/0!</v>
      </c>
      <c r="L59" s="37" t="e">
        <f t="shared" si="20"/>
        <v>#DIV/0!</v>
      </c>
      <c r="M59" s="37" t="e">
        <f t="shared" si="20"/>
        <v>#DIV/0!</v>
      </c>
      <c r="N59" s="37" t="e">
        <f t="shared" si="20"/>
        <v>#DIV/0!</v>
      </c>
      <c r="O59" s="6"/>
      <c r="P59" s="4">
        <f>+P50/P53</f>
        <v>1.0482782525113732</v>
      </c>
    </row>
    <row r="60" spans="1:18" x14ac:dyDescent="0.25">
      <c r="A60" s="36" t="s">
        <v>19</v>
      </c>
      <c r="B60" s="37">
        <f t="shared" ref="B60:N60" si="21">+B53/$B$61</f>
        <v>0</v>
      </c>
      <c r="C60" s="37">
        <f>+C53/$B$61</f>
        <v>0</v>
      </c>
      <c r="D60" s="37">
        <f t="shared" si="21"/>
        <v>0</v>
      </c>
      <c r="E60" s="37">
        <f t="shared" si="21"/>
        <v>0</v>
      </c>
      <c r="F60" s="37">
        <f t="shared" si="21"/>
        <v>0</v>
      </c>
      <c r="G60" s="37">
        <f t="shared" si="21"/>
        <v>0.61166390127091796</v>
      </c>
      <c r="H60" s="37">
        <f t="shared" si="21"/>
        <v>0</v>
      </c>
      <c r="I60" s="37">
        <f t="shared" si="21"/>
        <v>0</v>
      </c>
      <c r="J60" s="37">
        <f t="shared" si="21"/>
        <v>0</v>
      </c>
      <c r="K60" s="37">
        <f t="shared" si="21"/>
        <v>0</v>
      </c>
      <c r="L60" s="37">
        <f t="shared" si="21"/>
        <v>0</v>
      </c>
      <c r="M60" s="37">
        <f t="shared" si="21"/>
        <v>0</v>
      </c>
      <c r="N60" s="37">
        <f t="shared" si="21"/>
        <v>0</v>
      </c>
      <c r="O60" s="6"/>
      <c r="P60" s="4">
        <f>+P53/B61</f>
        <v>0.61166390127091796</v>
      </c>
    </row>
    <row r="61" spans="1:18" x14ac:dyDescent="0.25">
      <c r="A61" s="36" t="s">
        <v>20</v>
      </c>
      <c r="B61" s="37">
        <f>30*P57*1000</f>
        <v>29996.43</v>
      </c>
      <c r="C61" s="37"/>
      <c r="D61" s="37"/>
      <c r="E61" s="37"/>
      <c r="F61" s="37"/>
      <c r="G61" s="37"/>
      <c r="H61" s="37"/>
      <c r="I61" s="37"/>
      <c r="J61" s="37"/>
      <c r="K61" s="37"/>
      <c r="L61" s="37"/>
      <c r="M61" s="37"/>
      <c r="N61" s="37"/>
      <c r="O61" s="37"/>
      <c r="P61" s="4"/>
    </row>
    <row r="62" spans="1:18" x14ac:dyDescent="0.25">
      <c r="A62" s="84"/>
      <c r="B62" s="237">
        <f>B53/$B$61</f>
        <v>0</v>
      </c>
      <c r="C62" s="237">
        <f>C53/$B$61</f>
        <v>0</v>
      </c>
      <c r="D62" s="237">
        <f t="shared" ref="D62:N62" si="22">D53/$B$61</f>
        <v>0</v>
      </c>
      <c r="E62" s="237">
        <f t="shared" si="22"/>
        <v>0</v>
      </c>
      <c r="F62" s="237">
        <f t="shared" si="22"/>
        <v>0</v>
      </c>
      <c r="G62" s="237">
        <f t="shared" si="22"/>
        <v>0.61166390127091796</v>
      </c>
      <c r="H62" s="237">
        <f t="shared" si="22"/>
        <v>0</v>
      </c>
      <c r="I62" s="237">
        <f t="shared" si="22"/>
        <v>0</v>
      </c>
      <c r="J62" s="237">
        <f t="shared" si="22"/>
        <v>0</v>
      </c>
      <c r="K62" s="237">
        <f t="shared" si="22"/>
        <v>0</v>
      </c>
      <c r="L62" s="237">
        <f t="shared" si="22"/>
        <v>0</v>
      </c>
      <c r="M62" s="237">
        <f t="shared" si="22"/>
        <v>0</v>
      </c>
      <c r="N62" s="237">
        <f t="shared" si="22"/>
        <v>0</v>
      </c>
      <c r="O62" s="35"/>
      <c r="P62" s="33"/>
    </row>
    <row r="63" spans="1:18" x14ac:dyDescent="0.25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</row>
    <row r="64" spans="1:18" s="24" customFormat="1" x14ac:dyDescent="0.25">
      <c r="A64" s="271" t="s">
        <v>318</v>
      </c>
      <c r="B64" s="65"/>
      <c r="C64" s="65"/>
      <c r="D64" s="65"/>
      <c r="E64" s="65"/>
      <c r="F64" s="65"/>
      <c r="G64" s="66"/>
      <c r="H64" s="66"/>
      <c r="I64" s="66"/>
      <c r="J64" s="66"/>
      <c r="K64" s="36"/>
      <c r="L64" s="36"/>
      <c r="M64" s="36"/>
      <c r="N64" s="36"/>
      <c r="O64" s="50"/>
      <c r="P64" s="50"/>
    </row>
    <row r="65" spans="1:16" x14ac:dyDescent="0.25">
      <c r="A65" s="36" t="s">
        <v>6</v>
      </c>
      <c r="B65" s="380">
        <f>VLOOKUP($A$64,TABLA_1[],5,FALSE)</f>
        <v>0</v>
      </c>
      <c r="C65" s="380">
        <f>VLOOKUP($A$64,TABLA_2[],5,FALSE)</f>
        <v>0</v>
      </c>
      <c r="D65" s="380">
        <f>VLOOKUP($A$64,TABLA_3[],5,FALSE)</f>
        <v>0</v>
      </c>
      <c r="E65" s="380">
        <f>VLOOKUP($A$64,TABLA_4[],5,FALSE)</f>
        <v>0</v>
      </c>
      <c r="F65" s="380">
        <f>VLOOKUP($A$64,TABLA_5[],5,FALSE)</f>
        <v>0</v>
      </c>
      <c r="G65" s="380">
        <f>VLOOKUP($A$64,TABLA_6[],5,FALSE)</f>
        <v>4086.1933589999999</v>
      </c>
      <c r="H65" s="380">
        <f>VLOOKUP($A$64,TABLA_7[],5,FALSE)</f>
        <v>0</v>
      </c>
      <c r="I65" s="380">
        <f>VLOOKUP($A$64,TABLA_8[],5,FALSE)</f>
        <v>0</v>
      </c>
      <c r="J65" s="380">
        <f>VLOOKUP($A$64,TABLA_9[],5,FALSE)</f>
        <v>0</v>
      </c>
      <c r="K65" s="380">
        <f>VLOOKUP($A$64,TABLA_10[],5,FALSE)</f>
        <v>0</v>
      </c>
      <c r="L65" s="380">
        <f>VLOOKUP($A$64,TABLA_11[],5,FALSE)</f>
        <v>0</v>
      </c>
      <c r="M65" s="380">
        <f>VLOOKUP($A$64,TABLA_12[],5,FALSE)</f>
        <v>0</v>
      </c>
      <c r="N65" s="380">
        <f>VLOOKUP($A$64,TABLA_13[],5,FALSE)</f>
        <v>0</v>
      </c>
      <c r="O65" s="6"/>
      <c r="P65" s="43">
        <f>MAX(B65:N65)</f>
        <v>4086.1933589999999</v>
      </c>
    </row>
    <row r="66" spans="1:16" x14ac:dyDescent="0.25">
      <c r="A66" s="36" t="s">
        <v>7</v>
      </c>
      <c r="B66" s="380">
        <f>VLOOKUP($A$64,TABLA_1[],8,FALSE)</f>
        <v>0</v>
      </c>
      <c r="C66" s="380">
        <f>VLOOKUP($A$64,TABLA_2[],8,FALSE)</f>
        <v>0</v>
      </c>
      <c r="D66" s="380">
        <f>VLOOKUP($A$64,TABLA_3[],8,FALSE)</f>
        <v>0</v>
      </c>
      <c r="E66" s="380">
        <f>VLOOKUP($A$64,TABLA_4[],8,FALSE)</f>
        <v>0</v>
      </c>
      <c r="F66" s="380">
        <f>VLOOKUP($A$64,TABLA_5[],8,FALSE)</f>
        <v>0</v>
      </c>
      <c r="G66" s="380">
        <f>VLOOKUP($A$64,TABLA_6[],8,FALSE)</f>
        <v>2210528.2508669998</v>
      </c>
      <c r="H66" s="380">
        <f>VLOOKUP($A$64,TABLA_7[],8,FALSE)</f>
        <v>0</v>
      </c>
      <c r="I66" s="380">
        <f>VLOOKUP($A$64,TABLA_8[],8,FALSE)</f>
        <v>0</v>
      </c>
      <c r="J66" s="380">
        <f>VLOOKUP($A$64,TABLA_9[],8,FALSE)</f>
        <v>0</v>
      </c>
      <c r="K66" s="380">
        <f>VLOOKUP($A$64,TABLA_10[],8,FALSE)</f>
        <v>0</v>
      </c>
      <c r="L66" s="380">
        <f>VLOOKUP($A$64,TABLA_11[],8,FALSE)</f>
        <v>0</v>
      </c>
      <c r="M66" s="380">
        <f>VLOOKUP($A$64,TABLA_12[],8,FALSE)</f>
        <v>0</v>
      </c>
      <c r="N66" s="380">
        <f>VLOOKUP($A$64,TABLA_13[],8,FALSE)</f>
        <v>0</v>
      </c>
      <c r="O66" s="47">
        <f>SUM(B66:N66)</f>
        <v>2210528.2508669998</v>
      </c>
      <c r="P66" s="43">
        <f>SUM(B66:N66)/(COUNTIF(B66:N66,"&gt;0"))</f>
        <v>2210528.2508669998</v>
      </c>
    </row>
    <row r="67" spans="1:16" x14ac:dyDescent="0.25">
      <c r="A67" s="36" t="s">
        <v>16</v>
      </c>
      <c r="B67" s="37" t="e">
        <f t="shared" ref="B67:M67" si="23">+((B65/B69)^2-(B65^2))^(0.5)</f>
        <v>#DIV/0!</v>
      </c>
      <c r="C67" s="37" t="e">
        <f>+((C65/C69)^2-(C65^2))^(0.5)</f>
        <v>#DIV/0!</v>
      </c>
      <c r="D67" s="37" t="e">
        <f t="shared" si="23"/>
        <v>#DIV/0!</v>
      </c>
      <c r="E67" s="37" t="e">
        <f t="shared" si="23"/>
        <v>#DIV/0!</v>
      </c>
      <c r="F67" s="37" t="e">
        <f t="shared" si="23"/>
        <v>#DIV/0!</v>
      </c>
      <c r="G67" s="37">
        <f t="shared" si="23"/>
        <v>511.07109079727644</v>
      </c>
      <c r="H67" s="37" t="e">
        <f t="shared" si="23"/>
        <v>#DIV/0!</v>
      </c>
      <c r="I67" s="37" t="e">
        <f t="shared" si="23"/>
        <v>#DIV/0!</v>
      </c>
      <c r="J67" s="37" t="e">
        <f t="shared" si="23"/>
        <v>#DIV/0!</v>
      </c>
      <c r="K67" s="37" t="e">
        <f t="shared" si="23"/>
        <v>#DIV/0!</v>
      </c>
      <c r="L67" s="37" t="e">
        <f t="shared" si="23"/>
        <v>#DIV/0!</v>
      </c>
      <c r="M67" s="37" t="e">
        <f t="shared" si="23"/>
        <v>#DIV/0!</v>
      </c>
      <c r="N67" s="37" t="e">
        <f>+((N65/N69)^2-(N65^2))^(0.5)</f>
        <v>#DIV/0!</v>
      </c>
      <c r="O67" s="37"/>
      <c r="P67" s="4">
        <f>HLOOKUP(P65,B65:N67,3,FALSE)</f>
        <v>511.07109079727644</v>
      </c>
    </row>
    <row r="68" spans="1:16" x14ac:dyDescent="0.25">
      <c r="A68" s="36" t="s">
        <v>8</v>
      </c>
      <c r="B68" s="37">
        <f t="shared" ref="B68:M68" si="24">+B66/(24*B$8)</f>
        <v>0</v>
      </c>
      <c r="C68" s="37">
        <f>+C66/(24*C$8)</f>
        <v>0</v>
      </c>
      <c r="D68" s="37">
        <f t="shared" si="24"/>
        <v>0</v>
      </c>
      <c r="E68" s="37">
        <f t="shared" si="24"/>
        <v>0</v>
      </c>
      <c r="F68" s="37">
        <f t="shared" si="24"/>
        <v>0</v>
      </c>
      <c r="G68" s="37">
        <f t="shared" si="24"/>
        <v>2971.1401221330643</v>
      </c>
      <c r="H68" s="37">
        <f t="shared" si="24"/>
        <v>0</v>
      </c>
      <c r="I68" s="37">
        <f t="shared" si="24"/>
        <v>0</v>
      </c>
      <c r="J68" s="37">
        <f t="shared" si="24"/>
        <v>0</v>
      </c>
      <c r="K68" s="37">
        <f t="shared" si="24"/>
        <v>0</v>
      </c>
      <c r="L68" s="37">
        <f t="shared" si="24"/>
        <v>0</v>
      </c>
      <c r="M68" s="37">
        <f t="shared" si="24"/>
        <v>0</v>
      </c>
      <c r="N68" s="37">
        <f>+N66/(24*N$8)</f>
        <v>0</v>
      </c>
      <c r="O68" s="6">
        <f>SUM(O66)/(24*O$8)</f>
        <v>252.34340763321916</v>
      </c>
      <c r="P68" s="4">
        <f>O66/(COUNTIF(B66:N66,"&gt;0")*720)</f>
        <v>3070.1781262041663</v>
      </c>
    </row>
    <row r="69" spans="1:16" x14ac:dyDescent="0.25">
      <c r="A69" s="36" t="s">
        <v>9</v>
      </c>
      <c r="B69" s="380">
        <f>VLOOKUP($A$64,TABLA_1[],10,FALSE)</f>
        <v>0</v>
      </c>
      <c r="C69" s="380">
        <f>VLOOKUP($A$64,TABLA_2[],10,FALSE)</f>
        <v>0</v>
      </c>
      <c r="D69" s="380">
        <f>VLOOKUP($A$64,TABLA_3[],10,FALSE)</f>
        <v>0</v>
      </c>
      <c r="E69" s="380">
        <f>VLOOKUP($A$64,TABLA_4[],10,FALSE)</f>
        <v>0</v>
      </c>
      <c r="F69" s="380">
        <f>VLOOKUP($A$64,TABLA_5[],10,FALSE)</f>
        <v>0</v>
      </c>
      <c r="G69" s="380">
        <f>VLOOKUP($A$64,TABLA_6[],10,FALSE)</f>
        <v>0.99226899999999996</v>
      </c>
      <c r="H69" s="380">
        <f>VLOOKUP($A$64,TABLA_7[],10,FALSE)</f>
        <v>0</v>
      </c>
      <c r="I69" s="380">
        <f>VLOOKUP($A$64,TABLA_8[],10,FALSE)</f>
        <v>0</v>
      </c>
      <c r="J69" s="380">
        <f>VLOOKUP($A$64,TABLA_9[],10,FALSE)</f>
        <v>0</v>
      </c>
      <c r="K69" s="380">
        <f>VLOOKUP($A$64,TABLA_10[],10,FALSE)</f>
        <v>0</v>
      </c>
      <c r="L69" s="380">
        <f>VLOOKUP($A$64,TABLA_11[],10,FALSE)</f>
        <v>0</v>
      </c>
      <c r="M69" s="380">
        <f>VLOOKUP($A$64,TABLA_12[],10,FALSE)</f>
        <v>0</v>
      </c>
      <c r="N69" s="380">
        <f>VLOOKUP($A$64,TABLA_13[],10,FALSE)</f>
        <v>0</v>
      </c>
      <c r="O69" s="6"/>
      <c r="P69" s="4">
        <f>COS(ATAN(P67/P65))</f>
        <v>0.99226899999999985</v>
      </c>
    </row>
    <row r="70" spans="1:16" x14ac:dyDescent="0.25">
      <c r="A70" s="36" t="s">
        <v>17</v>
      </c>
      <c r="B70" s="37" t="e">
        <f>+B68/B65</f>
        <v>#DIV/0!</v>
      </c>
      <c r="C70" s="37" t="e">
        <f>+C68/C65</f>
        <v>#DIV/0!</v>
      </c>
      <c r="D70" s="37" t="e">
        <f t="shared" ref="D70:M70" si="25">+D68/D65</f>
        <v>#DIV/0!</v>
      </c>
      <c r="E70" s="37" t="e">
        <f t="shared" si="25"/>
        <v>#DIV/0!</v>
      </c>
      <c r="F70" s="37" t="e">
        <f>+F68/F65</f>
        <v>#DIV/0!</v>
      </c>
      <c r="G70" s="37">
        <f t="shared" si="25"/>
        <v>0.7271168691978348</v>
      </c>
      <c r="H70" s="37" t="e">
        <f t="shared" si="25"/>
        <v>#DIV/0!</v>
      </c>
      <c r="I70" s="37" t="e">
        <f t="shared" si="25"/>
        <v>#DIV/0!</v>
      </c>
      <c r="J70" s="37" t="e">
        <f t="shared" si="25"/>
        <v>#DIV/0!</v>
      </c>
      <c r="K70" s="37" t="e">
        <f t="shared" si="25"/>
        <v>#DIV/0!</v>
      </c>
      <c r="L70" s="37" t="e">
        <f t="shared" si="25"/>
        <v>#DIV/0!</v>
      </c>
      <c r="M70" s="37" t="e">
        <f t="shared" si="25"/>
        <v>#DIV/0!</v>
      </c>
      <c r="N70" s="37" t="e">
        <f>+N68/N65</f>
        <v>#DIV/0!</v>
      </c>
      <c r="O70" s="37"/>
      <c r="P70" s="4">
        <f>+P68/P65</f>
        <v>0.751354098171096</v>
      </c>
    </row>
    <row r="71" spans="1:16" s="24" customFormat="1" x14ac:dyDescent="0.25">
      <c r="A71" s="271" t="s">
        <v>319</v>
      </c>
      <c r="B71" s="65"/>
      <c r="C71" s="65"/>
      <c r="D71" s="65"/>
      <c r="E71" s="65"/>
      <c r="F71" s="65"/>
      <c r="G71" s="66"/>
      <c r="H71" s="66"/>
      <c r="I71" s="66"/>
      <c r="J71" s="66"/>
      <c r="K71" s="36"/>
      <c r="L71" s="36"/>
      <c r="M71" s="36"/>
      <c r="N71" s="36"/>
      <c r="O71" s="37"/>
      <c r="P71" s="37"/>
    </row>
    <row r="72" spans="1:16" x14ac:dyDescent="0.25">
      <c r="A72" s="36" t="s">
        <v>6</v>
      </c>
      <c r="B72" s="380">
        <f>VLOOKUP($A$71,TABLA_1[],5,FALSE)</f>
        <v>0</v>
      </c>
      <c r="C72" s="380">
        <f>VLOOKUP($A$71,TABLA_2[],5,FALSE)</f>
        <v>0</v>
      </c>
      <c r="D72" s="380">
        <f>VLOOKUP($A$71,TABLA_3[],5,FALSE)</f>
        <v>0</v>
      </c>
      <c r="E72" s="380">
        <f>VLOOKUP($A$71,TABLA_4[],5,FALSE)</f>
        <v>0</v>
      </c>
      <c r="F72" s="380">
        <f>VLOOKUP($A$71,TABLA_5[],5,FALSE)</f>
        <v>0</v>
      </c>
      <c r="G72" s="380">
        <f>VLOOKUP($A$71,TABLA_6[],5,FALSE)</f>
        <v>5578.8033850000002</v>
      </c>
      <c r="H72" s="380">
        <f>VLOOKUP($A$71,TABLA_7[],5,FALSE)</f>
        <v>0</v>
      </c>
      <c r="I72" s="380">
        <f>VLOOKUP($A$71,TABLA_8[],5,FALSE)</f>
        <v>0</v>
      </c>
      <c r="J72" s="380">
        <f>VLOOKUP($A$71,TABLA_9[],5,FALSE)</f>
        <v>0</v>
      </c>
      <c r="K72" s="380">
        <f>VLOOKUP($A$71,TABLA_10[],5,FALSE)</f>
        <v>0</v>
      </c>
      <c r="L72" s="380">
        <f>VLOOKUP($A$71,TABLA_11[],5,FALSE)</f>
        <v>0</v>
      </c>
      <c r="M72" s="380">
        <f>VLOOKUP($A$71,TABLA_12[],5,FALSE)</f>
        <v>0</v>
      </c>
      <c r="N72" s="380">
        <f>VLOOKUP($A$71,TABLA_13[],5,FALSE)</f>
        <v>0</v>
      </c>
      <c r="O72" s="6"/>
      <c r="P72" s="47">
        <f>MAX(B72:N72)</f>
        <v>5578.8033850000002</v>
      </c>
    </row>
    <row r="73" spans="1:16" x14ac:dyDescent="0.25">
      <c r="A73" s="36" t="s">
        <v>7</v>
      </c>
      <c r="B73" s="380">
        <f>VLOOKUP($A$71,TABLA_1[],8,FALSE)</f>
        <v>0</v>
      </c>
      <c r="C73" s="380">
        <f>VLOOKUP($A$71,TABLA_2[],8,FALSE)</f>
        <v>0</v>
      </c>
      <c r="D73" s="380">
        <f>VLOOKUP($A$71,TABLA_3[],8,FALSE)</f>
        <v>0</v>
      </c>
      <c r="E73" s="380">
        <f>VLOOKUP($A$71,TABLA_4[],8,FALSE)</f>
        <v>0</v>
      </c>
      <c r="F73" s="380">
        <f>VLOOKUP($A$71,TABLA_5[],8,FALSE)</f>
        <v>0</v>
      </c>
      <c r="G73" s="380">
        <f>VLOOKUP($A$71,TABLA_6[],8,FALSE)</f>
        <v>3134767.9339510002</v>
      </c>
      <c r="H73" s="380">
        <f>VLOOKUP($A$71,TABLA_7[],8,FALSE)</f>
        <v>0</v>
      </c>
      <c r="I73" s="380">
        <f>VLOOKUP($A$71,TABLA_8[],8,FALSE)</f>
        <v>0</v>
      </c>
      <c r="J73" s="380">
        <f>VLOOKUP($A$71,TABLA_9[],8,FALSE)</f>
        <v>0</v>
      </c>
      <c r="K73" s="380">
        <f>VLOOKUP($A$71,TABLA_10[],8,FALSE)</f>
        <v>0</v>
      </c>
      <c r="L73" s="380">
        <f>VLOOKUP($A$71,TABLA_11[],8,FALSE)</f>
        <v>0</v>
      </c>
      <c r="M73" s="380">
        <f>VLOOKUP($A$71,TABLA_12[],8,FALSE)</f>
        <v>0</v>
      </c>
      <c r="N73" s="380">
        <f>VLOOKUP($A$71,TABLA_13[],8,FALSE)</f>
        <v>0</v>
      </c>
      <c r="O73" s="47">
        <f>SUM(B73:N73)</f>
        <v>3134767.9339510002</v>
      </c>
      <c r="P73" s="43">
        <f>SUM(B73:N73)/(COUNTIF(B73:N73,"&gt;0"))</f>
        <v>3134767.9339510002</v>
      </c>
    </row>
    <row r="74" spans="1:16" x14ac:dyDescent="0.25">
      <c r="A74" s="36" t="s">
        <v>16</v>
      </c>
      <c r="B74" s="37" t="e">
        <f t="shared" ref="B74:M74" si="26">+((B72/B76)^2-(B72^2))^(0.5)</f>
        <v>#DIV/0!</v>
      </c>
      <c r="C74" s="37" t="e">
        <f>+((C72/C76)^2-(C72^2))^(0.5)</f>
        <v>#DIV/0!</v>
      </c>
      <c r="D74" s="37" t="e">
        <f>+((D72/D76)^2-(D72^2))^(0.5)</f>
        <v>#DIV/0!</v>
      </c>
      <c r="E74" s="37" t="e">
        <f t="shared" si="26"/>
        <v>#DIV/0!</v>
      </c>
      <c r="F74" s="37" t="e">
        <f t="shared" si="26"/>
        <v>#DIV/0!</v>
      </c>
      <c r="G74" s="37">
        <f t="shared" si="26"/>
        <v>747.73603837487667</v>
      </c>
      <c r="H74" s="37" t="e">
        <f t="shared" si="26"/>
        <v>#DIV/0!</v>
      </c>
      <c r="I74" s="37" t="e">
        <f t="shared" si="26"/>
        <v>#DIV/0!</v>
      </c>
      <c r="J74" s="37" t="e">
        <f t="shared" si="26"/>
        <v>#DIV/0!</v>
      </c>
      <c r="K74" s="37" t="e">
        <f t="shared" si="26"/>
        <v>#DIV/0!</v>
      </c>
      <c r="L74" s="37" t="e">
        <f t="shared" si="26"/>
        <v>#DIV/0!</v>
      </c>
      <c r="M74" s="37" t="e">
        <f t="shared" si="26"/>
        <v>#DIV/0!</v>
      </c>
      <c r="N74" s="37" t="e">
        <f>+((N72/N76)^2-(N72^2))^(0.5)</f>
        <v>#DIV/0!</v>
      </c>
      <c r="O74" s="37"/>
      <c r="P74" s="4">
        <f>HLOOKUP(P72,B72:N74,3,FALSE)</f>
        <v>747.73603837487667</v>
      </c>
    </row>
    <row r="75" spans="1:16" x14ac:dyDescent="0.25">
      <c r="A75" s="36" t="s">
        <v>8</v>
      </c>
      <c r="B75" s="37">
        <f t="shared" ref="B75:M75" si="27">+B73/(24*B$8)</f>
        <v>0</v>
      </c>
      <c r="C75" s="37">
        <f>+C73/(24*C$8)</f>
        <v>0</v>
      </c>
      <c r="D75" s="37">
        <f>+D73/(24*D$8)</f>
        <v>0</v>
      </c>
      <c r="E75" s="37">
        <f t="shared" si="27"/>
        <v>0</v>
      </c>
      <c r="F75" s="37">
        <f t="shared" si="27"/>
        <v>0</v>
      </c>
      <c r="G75" s="37">
        <f t="shared" si="27"/>
        <v>4213.3977606868284</v>
      </c>
      <c r="H75" s="37">
        <f t="shared" si="27"/>
        <v>0</v>
      </c>
      <c r="I75" s="37">
        <f t="shared" si="27"/>
        <v>0</v>
      </c>
      <c r="J75" s="37">
        <f t="shared" si="27"/>
        <v>0</v>
      </c>
      <c r="K75" s="37">
        <f t="shared" si="27"/>
        <v>0</v>
      </c>
      <c r="L75" s="37">
        <f t="shared" si="27"/>
        <v>0</v>
      </c>
      <c r="M75" s="37">
        <f t="shared" si="27"/>
        <v>0</v>
      </c>
      <c r="N75" s="37">
        <f>+N73/(24*N$8)</f>
        <v>0</v>
      </c>
      <c r="O75" s="6">
        <f>SUM(O73)/(24*O$8)</f>
        <v>357.85022077066213</v>
      </c>
      <c r="P75" s="4">
        <f>O73/(COUNTIF(B73:N73,"&gt;0")*720)</f>
        <v>4353.8443527097224</v>
      </c>
    </row>
    <row r="76" spans="1:16" x14ac:dyDescent="0.25">
      <c r="A76" s="36" t="s">
        <v>9</v>
      </c>
      <c r="B76" s="380">
        <f>VLOOKUP($A$71,TABLA_1[],10,FALSE)</f>
        <v>0</v>
      </c>
      <c r="C76" s="380">
        <f>VLOOKUP($A$71,TABLA_2[],10,FALSE)</f>
        <v>0</v>
      </c>
      <c r="D76" s="380">
        <f>VLOOKUP($A$71,TABLA_3[],10,FALSE)</f>
        <v>0</v>
      </c>
      <c r="E76" s="380">
        <f>VLOOKUP($A$71,TABLA_4[],10,FALSE)</f>
        <v>0</v>
      </c>
      <c r="F76" s="380">
        <f>VLOOKUP($A$71,TABLA_5[],10,FALSE)</f>
        <v>0</v>
      </c>
      <c r="G76" s="380">
        <f>VLOOKUP($A$71,TABLA_6[],10,FALSE)</f>
        <v>0.99113700000000005</v>
      </c>
      <c r="H76" s="380">
        <f>VLOOKUP($A$71,TABLA_7[],10,FALSE)</f>
        <v>0</v>
      </c>
      <c r="I76" s="380">
        <f>VLOOKUP($A$71,TABLA_8[],10,FALSE)</f>
        <v>0</v>
      </c>
      <c r="J76" s="380">
        <f>VLOOKUP($A$71,TABLA_9[],10,FALSE)</f>
        <v>0</v>
      </c>
      <c r="K76" s="380">
        <f>VLOOKUP($A$71,TABLA_10[],10,FALSE)</f>
        <v>0</v>
      </c>
      <c r="L76" s="380">
        <f>VLOOKUP($A$71,TABLA_11[],10,FALSE)</f>
        <v>0</v>
      </c>
      <c r="M76" s="380">
        <f>VLOOKUP($A$71,TABLA_12[],10,FALSE)</f>
        <v>0</v>
      </c>
      <c r="N76" s="380">
        <f>VLOOKUP($A$71,TABLA_13[],10,FALSE)</f>
        <v>0</v>
      </c>
      <c r="O76" s="6"/>
      <c r="P76" s="4">
        <f>COS(ATAN(P74/P72))</f>
        <v>0.99113700000000005</v>
      </c>
    </row>
    <row r="77" spans="1:16" x14ac:dyDescent="0.25">
      <c r="A77" s="36" t="s">
        <v>17</v>
      </c>
      <c r="B77" s="37" t="e">
        <f t="shared" ref="B77:M77" si="28">+B75/B72</f>
        <v>#DIV/0!</v>
      </c>
      <c r="C77" s="37" t="e">
        <f>+C75/C72</f>
        <v>#DIV/0!</v>
      </c>
      <c r="D77" s="37" t="e">
        <f>+D75/D72</f>
        <v>#DIV/0!</v>
      </c>
      <c r="E77" s="37" t="e">
        <f t="shared" si="28"/>
        <v>#DIV/0!</v>
      </c>
      <c r="F77" s="37" t="e">
        <f>+F75/F72</f>
        <v>#DIV/0!</v>
      </c>
      <c r="G77" s="37">
        <f t="shared" si="28"/>
        <v>0.75525116587108909</v>
      </c>
      <c r="H77" s="37" t="e">
        <f t="shared" si="28"/>
        <v>#DIV/0!</v>
      </c>
      <c r="I77" s="37" t="e">
        <f t="shared" si="28"/>
        <v>#DIV/0!</v>
      </c>
      <c r="J77" s="37" t="e">
        <f>+J75/J72</f>
        <v>#DIV/0!</v>
      </c>
      <c r="K77" s="37" t="e">
        <f t="shared" si="28"/>
        <v>#DIV/0!</v>
      </c>
      <c r="L77" s="37" t="e">
        <f t="shared" si="28"/>
        <v>#DIV/0!</v>
      </c>
      <c r="M77" s="37" t="e">
        <f t="shared" si="28"/>
        <v>#DIV/0!</v>
      </c>
      <c r="N77" s="37" t="e">
        <f>+N75/N72</f>
        <v>#DIV/0!</v>
      </c>
      <c r="O77" s="37"/>
      <c r="P77" s="4">
        <f>+P75/P72</f>
        <v>0.78042620473345869</v>
      </c>
    </row>
    <row r="78" spans="1:16" s="24" customFormat="1" x14ac:dyDescent="0.25">
      <c r="A78" s="271" t="s">
        <v>320</v>
      </c>
      <c r="B78" s="65"/>
      <c r="C78" s="65"/>
      <c r="D78" s="65"/>
      <c r="E78" s="65"/>
      <c r="F78" s="65"/>
      <c r="G78" s="66"/>
      <c r="H78" s="66"/>
      <c r="I78" s="66"/>
      <c r="J78" s="66"/>
      <c r="K78" s="36"/>
      <c r="L78" s="36"/>
      <c r="M78" s="36"/>
      <c r="N78" s="36"/>
      <c r="O78" s="37"/>
      <c r="P78" s="37"/>
    </row>
    <row r="79" spans="1:16" x14ac:dyDescent="0.25">
      <c r="A79" s="36" t="s">
        <v>6</v>
      </c>
      <c r="B79" s="380">
        <f>VLOOKUP($A$78,TABLA_1[],5,FALSE)</f>
        <v>0</v>
      </c>
      <c r="C79" s="380">
        <f>VLOOKUP($A$78,TABLA_2[],5,FALSE)</f>
        <v>0</v>
      </c>
      <c r="D79" s="380">
        <f>VLOOKUP($A$78,TABLA_3[],5,FALSE)</f>
        <v>0</v>
      </c>
      <c r="E79" s="380">
        <f>VLOOKUP($A$78,TABLA_4[],5,FALSE)</f>
        <v>0</v>
      </c>
      <c r="F79" s="380">
        <f>VLOOKUP($A$78,TABLA_5[],5,FALSE)</f>
        <v>0</v>
      </c>
      <c r="G79" s="380">
        <f>VLOOKUP($A$78,TABLA_6[],5,FALSE)</f>
        <v>2670.6183259999998</v>
      </c>
      <c r="H79" s="380">
        <f>VLOOKUP($A$78,TABLA_7[],5,FALSE)</f>
        <v>0</v>
      </c>
      <c r="I79" s="380">
        <f>VLOOKUP($A$78,TABLA_8[],5,FALSE)</f>
        <v>0</v>
      </c>
      <c r="J79" s="380">
        <f>VLOOKUP($A$78,TABLA_9[],5,FALSE)</f>
        <v>0</v>
      </c>
      <c r="K79" s="380">
        <f>VLOOKUP($A$78,TABLA_10[],5,FALSE)</f>
        <v>0</v>
      </c>
      <c r="L79" s="380">
        <f>VLOOKUP($A$78,TABLA_11[],5,FALSE)</f>
        <v>0</v>
      </c>
      <c r="M79" s="380">
        <f>VLOOKUP($A$78,TABLA_12[],5,FALSE)</f>
        <v>0</v>
      </c>
      <c r="N79" s="380">
        <f>VLOOKUP($A$78,TABLA_13[],5,FALSE)</f>
        <v>0</v>
      </c>
      <c r="O79" s="6"/>
      <c r="P79" s="43">
        <f>MAX(B79:N79)</f>
        <v>2670.6183259999998</v>
      </c>
    </row>
    <row r="80" spans="1:16" x14ac:dyDescent="0.25">
      <c r="A80" s="36" t="s">
        <v>7</v>
      </c>
      <c r="B80" s="380">
        <f>VLOOKUP($A$78,TABLA_1[],8,FALSE)</f>
        <v>0</v>
      </c>
      <c r="C80" s="380">
        <f>VLOOKUP($A$78,TABLA_2[],8,FALSE)</f>
        <v>0</v>
      </c>
      <c r="D80" s="380">
        <f>VLOOKUP($A$78,TABLA_3[],8,FALSE)</f>
        <v>0</v>
      </c>
      <c r="E80" s="380">
        <f>VLOOKUP($A$78,TABLA_4[],8,FALSE)</f>
        <v>0</v>
      </c>
      <c r="F80" s="380">
        <f>VLOOKUP($A$78,TABLA_5[],8,FALSE)</f>
        <v>0</v>
      </c>
      <c r="G80" s="380">
        <f>VLOOKUP($A$78,TABLA_6[],8,FALSE)</f>
        <v>1367806.6763480001</v>
      </c>
      <c r="H80" s="380">
        <f>VLOOKUP($A$78,TABLA_7[],8,FALSE)</f>
        <v>0</v>
      </c>
      <c r="I80" s="380">
        <f>VLOOKUP($A$78,TABLA_8[],8,FALSE)</f>
        <v>0</v>
      </c>
      <c r="J80" s="380">
        <f>VLOOKUP($A$78,TABLA_9[],8,FALSE)</f>
        <v>0</v>
      </c>
      <c r="K80" s="380">
        <f>VLOOKUP($A$78,TABLA_10[],8,FALSE)</f>
        <v>0</v>
      </c>
      <c r="L80" s="380">
        <f>VLOOKUP($A$78,TABLA_11[],8,FALSE)</f>
        <v>0</v>
      </c>
      <c r="M80" s="380">
        <f>VLOOKUP($A$78,TABLA_12[],8,FALSE)</f>
        <v>0</v>
      </c>
      <c r="N80" s="380">
        <f>VLOOKUP($A$78,TABLA_13[],8,FALSE)</f>
        <v>0</v>
      </c>
      <c r="O80" s="47">
        <f>SUM(B80:N80)</f>
        <v>1367806.6763480001</v>
      </c>
      <c r="P80" s="43">
        <f>SUM(B80:N80)/(COUNTIF(B80:N80,"&gt;0"))</f>
        <v>1367806.6763480001</v>
      </c>
    </row>
    <row r="81" spans="1:16" x14ac:dyDescent="0.25">
      <c r="A81" s="36" t="s">
        <v>16</v>
      </c>
      <c r="B81" s="37" t="e">
        <f t="shared" ref="B81:M81" si="29">+((B79/B83)^2-(B79^2))^(0.5)</f>
        <v>#DIV/0!</v>
      </c>
      <c r="C81" s="37" t="e">
        <f>+((C79/C83)^2-(C79^2))^(0.5)</f>
        <v>#DIV/0!</v>
      </c>
      <c r="D81" s="37" t="e">
        <f t="shared" si="29"/>
        <v>#DIV/0!</v>
      </c>
      <c r="E81" s="37" t="e">
        <f t="shared" si="29"/>
        <v>#DIV/0!</v>
      </c>
      <c r="F81" s="37" t="e">
        <f t="shared" si="29"/>
        <v>#DIV/0!</v>
      </c>
      <c r="G81" s="37">
        <f t="shared" si="29"/>
        <v>844.50017845606919</v>
      </c>
      <c r="H81" s="37" t="e">
        <f t="shared" si="29"/>
        <v>#DIV/0!</v>
      </c>
      <c r="I81" s="37" t="e">
        <f t="shared" si="29"/>
        <v>#DIV/0!</v>
      </c>
      <c r="J81" s="37" t="e">
        <f t="shared" si="29"/>
        <v>#DIV/0!</v>
      </c>
      <c r="K81" s="37" t="e">
        <f t="shared" si="29"/>
        <v>#DIV/0!</v>
      </c>
      <c r="L81" s="37" t="e">
        <f t="shared" si="29"/>
        <v>#DIV/0!</v>
      </c>
      <c r="M81" s="37" t="e">
        <f t="shared" si="29"/>
        <v>#DIV/0!</v>
      </c>
      <c r="N81" s="37" t="e">
        <f>+((N79/N83)^2-(N79^2))^(0.5)</f>
        <v>#DIV/0!</v>
      </c>
      <c r="O81" s="37"/>
      <c r="P81" s="4">
        <f>HLOOKUP(P79,B79:N81,3,FALSE)</f>
        <v>844.50017845606919</v>
      </c>
    </row>
    <row r="82" spans="1:16" x14ac:dyDescent="0.25">
      <c r="A82" s="36" t="s">
        <v>8</v>
      </c>
      <c r="B82" s="37">
        <f t="shared" ref="B82:M82" si="30">+B80/(24*B$8)</f>
        <v>0</v>
      </c>
      <c r="C82" s="37">
        <f>+C80/(24*C$8)</f>
        <v>0</v>
      </c>
      <c r="D82" s="37">
        <f t="shared" si="30"/>
        <v>0</v>
      </c>
      <c r="E82" s="37">
        <f t="shared" si="30"/>
        <v>0</v>
      </c>
      <c r="F82" s="37">
        <f t="shared" si="30"/>
        <v>0</v>
      </c>
      <c r="G82" s="37">
        <f t="shared" si="30"/>
        <v>1838.4498338010753</v>
      </c>
      <c r="H82" s="37">
        <f t="shared" si="30"/>
        <v>0</v>
      </c>
      <c r="I82" s="37">
        <f t="shared" si="30"/>
        <v>0</v>
      </c>
      <c r="J82" s="37">
        <f t="shared" si="30"/>
        <v>0</v>
      </c>
      <c r="K82" s="37">
        <f t="shared" si="30"/>
        <v>0</v>
      </c>
      <c r="L82" s="37">
        <f t="shared" si="30"/>
        <v>0</v>
      </c>
      <c r="M82" s="37">
        <f t="shared" si="30"/>
        <v>0</v>
      </c>
      <c r="N82" s="37">
        <f>+N80/(24*N$8)</f>
        <v>0</v>
      </c>
      <c r="O82" s="6">
        <f>SUM(O80)/(24*O$8)</f>
        <v>156.14231465159818</v>
      </c>
      <c r="P82" s="4">
        <f>O80/(COUNTIF(B80:N80,"&gt;0")*720)</f>
        <v>1899.7314949277779</v>
      </c>
    </row>
    <row r="83" spans="1:16" x14ac:dyDescent="0.25">
      <c r="A83" s="36" t="s">
        <v>9</v>
      </c>
      <c r="B83" s="380">
        <f>VLOOKUP($A$78,TABLA_1[],10,FALSE)</f>
        <v>0</v>
      </c>
      <c r="C83" s="380">
        <f>VLOOKUP($A$78,TABLA_2[],10,FALSE)</f>
        <v>0</v>
      </c>
      <c r="D83" s="380">
        <f>VLOOKUP($A$78,TABLA_3[],10,FALSE)</f>
        <v>0</v>
      </c>
      <c r="E83" s="380">
        <f>VLOOKUP($A$78,TABLA_4[],10,FALSE)</f>
        <v>0</v>
      </c>
      <c r="F83" s="380">
        <f>VLOOKUP($A$78,TABLA_5[],10,FALSE)</f>
        <v>0</v>
      </c>
      <c r="G83" s="380">
        <f>VLOOKUP($A$78,TABLA_6[],10,FALSE)</f>
        <v>0.95346500000000001</v>
      </c>
      <c r="H83" s="380">
        <f>VLOOKUP($A$78,TABLA_7[],10,FALSE)</f>
        <v>0</v>
      </c>
      <c r="I83" s="380">
        <f>VLOOKUP($A$78,TABLA_8[],10,FALSE)</f>
        <v>0</v>
      </c>
      <c r="J83" s="380">
        <f>VLOOKUP($A$78,TABLA_9[],10,FALSE)</f>
        <v>0</v>
      </c>
      <c r="K83" s="380">
        <f>VLOOKUP($A$78,TABLA_10[],10,FALSE)</f>
        <v>0</v>
      </c>
      <c r="L83" s="380">
        <f>VLOOKUP($A$78,TABLA_11[],10,FALSE)</f>
        <v>0</v>
      </c>
      <c r="M83" s="380">
        <f>VLOOKUP($A$78,TABLA_12[],10,FALSE)</f>
        <v>0</v>
      </c>
      <c r="N83" s="380">
        <f>VLOOKUP($A$78,TABLA_13[],10,FALSE)</f>
        <v>0</v>
      </c>
      <c r="O83" s="6"/>
      <c r="P83" s="4">
        <f>COS(ATAN(P81/P79))</f>
        <v>0.95346500000000001</v>
      </c>
    </row>
    <row r="84" spans="1:16" x14ac:dyDescent="0.25">
      <c r="A84" s="36" t="s">
        <v>17</v>
      </c>
      <c r="B84" s="37" t="e">
        <f t="shared" ref="B84:I84" si="31">+B82/B79</f>
        <v>#DIV/0!</v>
      </c>
      <c r="C84" s="37" t="e">
        <f>+C82/C79</f>
        <v>#DIV/0!</v>
      </c>
      <c r="D84" s="37" t="e">
        <f t="shared" si="31"/>
        <v>#DIV/0!</v>
      </c>
      <c r="E84" s="37" t="e">
        <f t="shared" si="31"/>
        <v>#DIV/0!</v>
      </c>
      <c r="F84" s="37" t="e">
        <f t="shared" si="31"/>
        <v>#DIV/0!</v>
      </c>
      <c r="G84" s="37">
        <f t="shared" si="31"/>
        <v>0.68839856893915263</v>
      </c>
      <c r="H84" s="37" t="e">
        <f t="shared" si="31"/>
        <v>#DIV/0!</v>
      </c>
      <c r="I84" s="37" t="e">
        <f t="shared" si="31"/>
        <v>#DIV/0!</v>
      </c>
      <c r="J84" s="37" t="e">
        <f>+J82/J79</f>
        <v>#DIV/0!</v>
      </c>
      <c r="K84" s="37" t="e">
        <f>+K82/K79</f>
        <v>#DIV/0!</v>
      </c>
      <c r="L84" s="37" t="e">
        <f>+L82/L79</f>
        <v>#DIV/0!</v>
      </c>
      <c r="M84" s="37" t="e">
        <f>+M82/M79</f>
        <v>#DIV/0!</v>
      </c>
      <c r="N84" s="37" t="e">
        <f>+N82/N79</f>
        <v>#DIV/0!</v>
      </c>
      <c r="O84" s="37"/>
      <c r="P84" s="4">
        <f>+P82/P79</f>
        <v>0.71134518790379109</v>
      </c>
    </row>
    <row r="85" spans="1:16" s="24" customFormat="1" x14ac:dyDescent="0.25">
      <c r="A85" s="271" t="s">
        <v>321</v>
      </c>
      <c r="B85" s="65"/>
      <c r="C85" s="65"/>
      <c r="D85" s="65"/>
      <c r="E85" s="65"/>
      <c r="F85" s="65"/>
      <c r="G85" s="66"/>
      <c r="H85" s="66"/>
      <c r="I85" s="66"/>
      <c r="J85" s="66"/>
      <c r="K85" s="36"/>
      <c r="L85" s="36"/>
      <c r="M85" s="36"/>
      <c r="N85" s="36"/>
      <c r="O85" s="50"/>
      <c r="P85" s="50"/>
    </row>
    <row r="86" spans="1:16" x14ac:dyDescent="0.25">
      <c r="A86" s="36" t="s">
        <v>6</v>
      </c>
      <c r="B86" s="380">
        <f>VLOOKUP($A$85,TABLA_1[],5,FALSE)</f>
        <v>0</v>
      </c>
      <c r="C86" s="380">
        <f>VLOOKUP($A$85,TABLA_2[],5,FALSE)</f>
        <v>0</v>
      </c>
      <c r="D86" s="380">
        <f>VLOOKUP($A$85,TABLA_3[],5,FALSE)</f>
        <v>0</v>
      </c>
      <c r="E86" s="380">
        <f>VLOOKUP($A$85,TABLA_4[],5,FALSE)</f>
        <v>0</v>
      </c>
      <c r="F86" s="380">
        <f>VLOOKUP($A$85,TABLA_5[],5,FALSE)</f>
        <v>0</v>
      </c>
      <c r="G86" s="380">
        <f>VLOOKUP($A$85,TABLA_6[],5,FALSE)</f>
        <v>2154.6233309999998</v>
      </c>
      <c r="H86" s="380">
        <f>VLOOKUP($A$85,TABLA_7[],5,FALSE)</f>
        <v>0</v>
      </c>
      <c r="I86" s="380">
        <f>VLOOKUP($A$85,TABLA_8[],5,FALSE)</f>
        <v>0</v>
      </c>
      <c r="J86" s="380">
        <f>VLOOKUP($A$85,TABLA_9[],5,FALSE)</f>
        <v>0</v>
      </c>
      <c r="K86" s="380">
        <f>VLOOKUP($A$85,TABLA_10[],5,FALSE)</f>
        <v>0</v>
      </c>
      <c r="L86" s="380">
        <f>VLOOKUP($A$85,TABLA_11[],5,FALSE)</f>
        <v>0</v>
      </c>
      <c r="M86" s="380">
        <f>VLOOKUP($A$85,TABLA_12[],5,FALSE)</f>
        <v>0</v>
      </c>
      <c r="N86" s="380">
        <f>VLOOKUP($A$85,TABLA_13[],5,FALSE)</f>
        <v>0</v>
      </c>
      <c r="O86" s="6"/>
      <c r="P86" s="43">
        <f>MAX(B86:N86)</f>
        <v>2154.6233309999998</v>
      </c>
    </row>
    <row r="87" spans="1:16" x14ac:dyDescent="0.25">
      <c r="A87" s="36" t="s">
        <v>7</v>
      </c>
      <c r="B87" s="380">
        <f>VLOOKUP($A$85,TABLA_1[],8,FALSE)</f>
        <v>0</v>
      </c>
      <c r="C87" s="380">
        <f>VLOOKUP($A$85,TABLA_2[],8,FALSE)</f>
        <v>0</v>
      </c>
      <c r="D87" s="380">
        <f>VLOOKUP($A$85,TABLA_3[],8,FALSE)</f>
        <v>0</v>
      </c>
      <c r="E87" s="380">
        <f>VLOOKUP($A$85,TABLA_4[],8,FALSE)</f>
        <v>0</v>
      </c>
      <c r="F87" s="380">
        <f>VLOOKUP($A$85,TABLA_5[],8,FALSE)</f>
        <v>0</v>
      </c>
      <c r="G87" s="380">
        <f>VLOOKUP($A$85,TABLA_6[],8,FALSE)</f>
        <v>990057.67781200004</v>
      </c>
      <c r="H87" s="380">
        <f>VLOOKUP($A$85,TABLA_7[],8,FALSE)</f>
        <v>0</v>
      </c>
      <c r="I87" s="380">
        <f>VLOOKUP($A$85,TABLA_8[],8,FALSE)</f>
        <v>0</v>
      </c>
      <c r="J87" s="380">
        <f>VLOOKUP($A$85,TABLA_9[],8,FALSE)</f>
        <v>0</v>
      </c>
      <c r="K87" s="380">
        <f>VLOOKUP($A$85,TABLA_10[],8,FALSE)</f>
        <v>0</v>
      </c>
      <c r="L87" s="380">
        <f>VLOOKUP($A$85,TABLA_11[],8,FALSE)</f>
        <v>0</v>
      </c>
      <c r="M87" s="380">
        <f>VLOOKUP($A$85,TABLA_12[],8,FALSE)</f>
        <v>0</v>
      </c>
      <c r="N87" s="380">
        <f>VLOOKUP($A$85,TABLA_13[],8,FALSE)</f>
        <v>0</v>
      </c>
      <c r="O87" s="47">
        <f>SUM(B87:N87)</f>
        <v>990057.67781200004</v>
      </c>
      <c r="P87" s="43">
        <f>SUM(B87:N87)/(COUNTIF(B87:N87,"&gt;0"))</f>
        <v>990057.67781200004</v>
      </c>
    </row>
    <row r="88" spans="1:16" x14ac:dyDescent="0.25">
      <c r="A88" s="36" t="s">
        <v>16</v>
      </c>
      <c r="B88" s="37" t="e">
        <f t="shared" ref="B88:M88" si="32">+((B86/B90)^2-(B86^2))^(0.5)</f>
        <v>#DIV/0!</v>
      </c>
      <c r="C88" s="37" t="e">
        <f>+((C86/C90)^2-(C86^2))^(0.5)</f>
        <v>#DIV/0!</v>
      </c>
      <c r="D88" s="37" t="e">
        <f t="shared" si="32"/>
        <v>#DIV/0!</v>
      </c>
      <c r="E88" s="37" t="e">
        <f t="shared" si="32"/>
        <v>#DIV/0!</v>
      </c>
      <c r="F88" s="37" t="e">
        <f t="shared" si="32"/>
        <v>#DIV/0!</v>
      </c>
      <c r="G88" s="37">
        <f t="shared" si="32"/>
        <v>446.23218407304154</v>
      </c>
      <c r="H88" s="37" t="e">
        <f t="shared" si="32"/>
        <v>#DIV/0!</v>
      </c>
      <c r="I88" s="37" t="e">
        <f t="shared" si="32"/>
        <v>#DIV/0!</v>
      </c>
      <c r="J88" s="37" t="e">
        <f t="shared" si="32"/>
        <v>#DIV/0!</v>
      </c>
      <c r="K88" s="37" t="e">
        <f t="shared" si="32"/>
        <v>#DIV/0!</v>
      </c>
      <c r="L88" s="37" t="e">
        <f t="shared" si="32"/>
        <v>#DIV/0!</v>
      </c>
      <c r="M88" s="37" t="e">
        <f t="shared" si="32"/>
        <v>#DIV/0!</v>
      </c>
      <c r="N88" s="37" t="e">
        <f>+((N86/N90)^2-(N86^2))^(0.5)</f>
        <v>#DIV/0!</v>
      </c>
      <c r="O88" s="37"/>
      <c r="P88" s="4">
        <f>HLOOKUP(P86,B86:N88,3,FALSE)</f>
        <v>446.23218407304154</v>
      </c>
    </row>
    <row r="89" spans="1:16" x14ac:dyDescent="0.25">
      <c r="A89" s="36" t="s">
        <v>8</v>
      </c>
      <c r="B89" s="37">
        <f t="shared" ref="B89:M89" si="33">+B87/(24*B$8)</f>
        <v>0</v>
      </c>
      <c r="C89" s="37">
        <f>+C87/(24*C$8)</f>
        <v>0</v>
      </c>
      <c r="D89" s="37">
        <f t="shared" si="33"/>
        <v>0</v>
      </c>
      <c r="E89" s="37">
        <f t="shared" si="33"/>
        <v>0</v>
      </c>
      <c r="F89" s="37">
        <f t="shared" si="33"/>
        <v>0</v>
      </c>
      <c r="G89" s="37">
        <f t="shared" si="33"/>
        <v>1330.7226852311828</v>
      </c>
      <c r="H89" s="37">
        <f t="shared" si="33"/>
        <v>0</v>
      </c>
      <c r="I89" s="37">
        <f t="shared" si="33"/>
        <v>0</v>
      </c>
      <c r="J89" s="37">
        <f t="shared" si="33"/>
        <v>0</v>
      </c>
      <c r="K89" s="37">
        <f t="shared" si="33"/>
        <v>0</v>
      </c>
      <c r="L89" s="37">
        <f t="shared" si="33"/>
        <v>0</v>
      </c>
      <c r="M89" s="37">
        <f t="shared" si="33"/>
        <v>0</v>
      </c>
      <c r="N89" s="37">
        <f>+N87/(24*N$8)</f>
        <v>0</v>
      </c>
      <c r="O89" s="6">
        <f>SUM(O87)/(24*O$8)</f>
        <v>113.02028285525114</v>
      </c>
      <c r="P89" s="4">
        <f>O87/(COUNTIF(B87:N87,"&gt;0")*720)</f>
        <v>1375.0801080722222</v>
      </c>
    </row>
    <row r="90" spans="1:16" x14ac:dyDescent="0.25">
      <c r="A90" s="36" t="s">
        <v>9</v>
      </c>
      <c r="B90" s="380">
        <f>VLOOKUP($A$85,TABLA_1[],10,FALSE)</f>
        <v>0</v>
      </c>
      <c r="C90" s="380">
        <f>VLOOKUP($A$85,TABLA_2[],10,FALSE)</f>
        <v>0</v>
      </c>
      <c r="D90" s="380">
        <f>VLOOKUP($A$85,TABLA_3[],10,FALSE)</f>
        <v>0</v>
      </c>
      <c r="E90" s="380">
        <f>VLOOKUP($A$85,TABLA_4[],10,FALSE)</f>
        <v>0</v>
      </c>
      <c r="F90" s="380">
        <f>VLOOKUP($A$85,TABLA_5[],10,FALSE)</f>
        <v>0</v>
      </c>
      <c r="G90" s="380">
        <f>VLOOKUP($A$85,TABLA_6[],10,FALSE)</f>
        <v>0.97921999999999998</v>
      </c>
      <c r="H90" s="380">
        <f>VLOOKUP($A$85,TABLA_7[],10,FALSE)</f>
        <v>0</v>
      </c>
      <c r="I90" s="380">
        <f>VLOOKUP($A$85,TABLA_8[],10,FALSE)</f>
        <v>0</v>
      </c>
      <c r="J90" s="380">
        <f>VLOOKUP($A$85,TABLA_9[],10,FALSE)</f>
        <v>0</v>
      </c>
      <c r="K90" s="380">
        <f>VLOOKUP($A$85,TABLA_10[],10,FALSE)</f>
        <v>0</v>
      </c>
      <c r="L90" s="380">
        <f>VLOOKUP($A$85,TABLA_11[],10,FALSE)</f>
        <v>0</v>
      </c>
      <c r="M90" s="380">
        <f>VLOOKUP($A$85,TABLA_12[],10,FALSE)</f>
        <v>0</v>
      </c>
      <c r="N90" s="380">
        <f>VLOOKUP($A$85,TABLA_13[],10,FALSE)</f>
        <v>0</v>
      </c>
      <c r="O90" s="6"/>
      <c r="P90" s="4">
        <f>COS(ATAN(P88/P86))</f>
        <v>0.97921999999999998</v>
      </c>
    </row>
    <row r="91" spans="1:16" x14ac:dyDescent="0.25">
      <c r="A91" s="36" t="s">
        <v>17</v>
      </c>
      <c r="B91" s="37" t="e">
        <f t="shared" ref="B91:I91" si="34">+B89/B86</f>
        <v>#DIV/0!</v>
      </c>
      <c r="C91" s="37" t="e">
        <f>+C89/C86</f>
        <v>#DIV/0!</v>
      </c>
      <c r="D91" s="37" t="e">
        <f t="shared" si="34"/>
        <v>#DIV/0!</v>
      </c>
      <c r="E91" s="37" t="e">
        <f t="shared" si="34"/>
        <v>#DIV/0!</v>
      </c>
      <c r="F91" s="37" t="e">
        <f t="shared" si="34"/>
        <v>#DIV/0!</v>
      </c>
      <c r="G91" s="37">
        <f t="shared" si="34"/>
        <v>0.61761267785658402</v>
      </c>
      <c r="H91" s="37" t="e">
        <f t="shared" si="34"/>
        <v>#DIV/0!</v>
      </c>
      <c r="I91" s="37" t="e">
        <f t="shared" si="34"/>
        <v>#DIV/0!</v>
      </c>
      <c r="J91" s="37" t="e">
        <f>+J89/J86</f>
        <v>#DIV/0!</v>
      </c>
      <c r="K91" s="37" t="e">
        <f>+K89/K86</f>
        <v>#DIV/0!</v>
      </c>
      <c r="L91" s="37" t="e">
        <f>+L89/L86</f>
        <v>#DIV/0!</v>
      </c>
      <c r="M91" s="37" t="e">
        <f>+M89/M86</f>
        <v>#DIV/0!</v>
      </c>
      <c r="N91" s="37" t="e">
        <f>+N89/N86</f>
        <v>#DIV/0!</v>
      </c>
      <c r="O91" s="37"/>
      <c r="P91" s="4">
        <f>+P89/P86</f>
        <v>0.63819976711847015</v>
      </c>
    </row>
    <row r="92" spans="1:16" s="24" customFormat="1" x14ac:dyDescent="0.25">
      <c r="A92" s="271" t="s">
        <v>359</v>
      </c>
      <c r="B92" s="65"/>
      <c r="C92" s="65"/>
      <c r="D92" s="65"/>
      <c r="E92" s="65"/>
      <c r="F92" s="65"/>
      <c r="G92" s="66"/>
      <c r="H92" s="66"/>
      <c r="I92" s="66"/>
      <c r="J92" s="66"/>
      <c r="K92" s="36"/>
      <c r="L92" s="36"/>
      <c r="M92" s="36"/>
      <c r="N92" s="36"/>
      <c r="O92" s="50"/>
      <c r="P92" s="50"/>
    </row>
    <row r="93" spans="1:16" x14ac:dyDescent="0.25">
      <c r="A93" s="36" t="s">
        <v>6</v>
      </c>
      <c r="B93" s="380">
        <f>VLOOKUP($A$92,TABLA_1[],5,FALSE)</f>
        <v>0</v>
      </c>
      <c r="C93" s="380">
        <f>VLOOKUP($A$92,TABLA_2[],5,FALSE)</f>
        <v>0</v>
      </c>
      <c r="D93" s="380">
        <f>VLOOKUP($A$92,TABLA_3[],5,FALSE)</f>
        <v>0</v>
      </c>
      <c r="E93" s="380">
        <f>VLOOKUP($A$92,TABLA_4[],5,FALSE)</f>
        <v>0</v>
      </c>
      <c r="F93" s="380">
        <f>VLOOKUP($A$92,TABLA_5[],5,FALSE)</f>
        <v>0</v>
      </c>
      <c r="G93" s="380">
        <f>VLOOKUP($A$92,TABLA_6[],5,FALSE)</f>
        <v>2409.8816320000001</v>
      </c>
      <c r="H93" s="380">
        <f>VLOOKUP($A$92,TABLA_7[],5,FALSE)</f>
        <v>0</v>
      </c>
      <c r="I93" s="380">
        <f>VLOOKUP($A$92,TABLA_8[],5,FALSE)</f>
        <v>0</v>
      </c>
      <c r="J93" s="380">
        <f>VLOOKUP($A$92,TABLA_9[],5,FALSE)</f>
        <v>0</v>
      </c>
      <c r="K93" s="380">
        <f>VLOOKUP($A$92,TABLA_10[],5,FALSE)</f>
        <v>0</v>
      </c>
      <c r="L93" s="380">
        <f>VLOOKUP($A$92,TABLA_11[],5,FALSE)</f>
        <v>0</v>
      </c>
      <c r="M93" s="380">
        <f>VLOOKUP($A$92,TABLA_12[],5,FALSE)</f>
        <v>0</v>
      </c>
      <c r="N93" s="380">
        <f>VLOOKUP($A$92,TABLA_13[],5,FALSE)</f>
        <v>0</v>
      </c>
      <c r="O93" s="6"/>
      <c r="P93" s="43">
        <f>MAX(B93:N93)</f>
        <v>2409.8816320000001</v>
      </c>
    </row>
    <row r="94" spans="1:16" x14ac:dyDescent="0.25">
      <c r="A94" s="36" t="s">
        <v>7</v>
      </c>
      <c r="B94" s="380">
        <f>VLOOKUP($A$92,TABLA_1[],8,FALSE)</f>
        <v>0</v>
      </c>
      <c r="C94" s="380">
        <f>VLOOKUP($A$92,TABLA_2[],8,FALSE)</f>
        <v>0</v>
      </c>
      <c r="D94" s="380">
        <f>VLOOKUP($A$92,TABLA_3[],8,FALSE)</f>
        <v>0</v>
      </c>
      <c r="E94" s="380">
        <f>VLOOKUP($A$92,TABLA_4[],8,FALSE)</f>
        <v>0</v>
      </c>
      <c r="F94" s="380">
        <f>VLOOKUP($A$92,TABLA_5[],8,FALSE)</f>
        <v>0</v>
      </c>
      <c r="G94" s="380">
        <f>VLOOKUP($A$92,TABLA_6[],8,FALSE)</f>
        <v>1054318.722573</v>
      </c>
      <c r="H94" s="380">
        <f>VLOOKUP($A$92,TABLA_7[],8,FALSE)</f>
        <v>0</v>
      </c>
      <c r="I94" s="380">
        <f>VLOOKUP($A$92,TABLA_8[],8,FALSE)</f>
        <v>0</v>
      </c>
      <c r="J94" s="380">
        <f>VLOOKUP($A$92,TABLA_9[],8,FALSE)</f>
        <v>0</v>
      </c>
      <c r="K94" s="380">
        <f>VLOOKUP($A$92,TABLA_10[],8,FALSE)</f>
        <v>0</v>
      </c>
      <c r="L94" s="380">
        <f>VLOOKUP($A$92,TABLA_11[],8,FALSE)</f>
        <v>0</v>
      </c>
      <c r="M94" s="380">
        <f>VLOOKUP($A$92,TABLA_12[],8,FALSE)</f>
        <v>0</v>
      </c>
      <c r="N94" s="380">
        <f>VLOOKUP($A$92,TABLA_13[],8,FALSE)</f>
        <v>0</v>
      </c>
      <c r="O94" s="47">
        <f>SUM(B94:N94)</f>
        <v>1054318.722573</v>
      </c>
      <c r="P94" s="43">
        <f>SUM(B94:N94)/(COUNTIF(B94:N94,"&gt;0"))</f>
        <v>1054318.722573</v>
      </c>
    </row>
    <row r="95" spans="1:16" x14ac:dyDescent="0.25">
      <c r="A95" s="36" t="s">
        <v>16</v>
      </c>
      <c r="B95" s="37" t="e">
        <f t="shared" ref="B95:N95" si="35">+((B93/B97)^2-(B93^2))^(0.5)</f>
        <v>#DIV/0!</v>
      </c>
      <c r="C95" s="37" t="e">
        <f>+((C93/C97)^2-(C93^2))^(0.5)</f>
        <v>#DIV/0!</v>
      </c>
      <c r="D95" s="37" t="e">
        <f t="shared" si="35"/>
        <v>#DIV/0!</v>
      </c>
      <c r="E95" s="37" t="e">
        <f t="shared" si="35"/>
        <v>#DIV/0!</v>
      </c>
      <c r="F95" s="37" t="e">
        <f t="shared" si="35"/>
        <v>#DIV/0!</v>
      </c>
      <c r="G95" s="37">
        <f t="shared" si="35"/>
        <v>42.70824037697075</v>
      </c>
      <c r="H95" s="37" t="e">
        <f t="shared" si="35"/>
        <v>#DIV/0!</v>
      </c>
      <c r="I95" s="37" t="e">
        <f t="shared" si="35"/>
        <v>#DIV/0!</v>
      </c>
      <c r="J95" s="37" t="e">
        <f t="shared" si="35"/>
        <v>#DIV/0!</v>
      </c>
      <c r="K95" s="37" t="e">
        <f t="shared" si="35"/>
        <v>#DIV/0!</v>
      </c>
      <c r="L95" s="37" t="e">
        <f t="shared" si="35"/>
        <v>#DIV/0!</v>
      </c>
      <c r="M95" s="37" t="e">
        <f t="shared" si="35"/>
        <v>#DIV/0!</v>
      </c>
      <c r="N95" s="37" t="e">
        <f t="shared" si="35"/>
        <v>#DIV/0!</v>
      </c>
      <c r="O95" s="37"/>
      <c r="P95" s="4">
        <f>HLOOKUP(P93,B93:N95,3,FALSE)</f>
        <v>42.70824037697075</v>
      </c>
    </row>
    <row r="96" spans="1:16" x14ac:dyDescent="0.25">
      <c r="A96" s="36" t="s">
        <v>8</v>
      </c>
      <c r="B96" s="37">
        <f t="shared" ref="B96:N96" si="36">+B94/(24*B$8)</f>
        <v>0</v>
      </c>
      <c r="C96" s="37">
        <f>+C94/(24*C$8)</f>
        <v>0</v>
      </c>
      <c r="D96" s="37">
        <f t="shared" si="36"/>
        <v>0</v>
      </c>
      <c r="E96" s="37">
        <f t="shared" si="36"/>
        <v>0</v>
      </c>
      <c r="F96" s="37">
        <f t="shared" si="36"/>
        <v>0</v>
      </c>
      <c r="G96" s="37">
        <f t="shared" si="36"/>
        <v>1417.0950572217741</v>
      </c>
      <c r="H96" s="37">
        <f t="shared" si="36"/>
        <v>0</v>
      </c>
      <c r="I96" s="37">
        <f t="shared" si="36"/>
        <v>0</v>
      </c>
      <c r="J96" s="37">
        <f t="shared" si="36"/>
        <v>0</v>
      </c>
      <c r="K96" s="37">
        <f t="shared" si="36"/>
        <v>0</v>
      </c>
      <c r="L96" s="37">
        <f t="shared" si="36"/>
        <v>0</v>
      </c>
      <c r="M96" s="37">
        <f t="shared" si="36"/>
        <v>0</v>
      </c>
      <c r="N96" s="37">
        <f t="shared" si="36"/>
        <v>0</v>
      </c>
      <c r="O96" s="6">
        <f>SUM(O94)/(24*O$8)</f>
        <v>120.35601855856164</v>
      </c>
      <c r="P96" s="4">
        <f>O94/(COUNTIF(B94:N94,"&gt;0")*720)</f>
        <v>1464.3315591291666</v>
      </c>
    </row>
    <row r="97" spans="1:18" x14ac:dyDescent="0.25">
      <c r="A97" s="36" t="s">
        <v>9</v>
      </c>
      <c r="B97" s="380">
        <f>VLOOKUP($A$92,TABLA_1[],10,FALSE)</f>
        <v>0</v>
      </c>
      <c r="C97" s="380">
        <f>VLOOKUP($A$92,TABLA_2[],10,FALSE)</f>
        <v>0</v>
      </c>
      <c r="D97" s="380">
        <f>VLOOKUP($A$92,TABLA_3[],10,FALSE)</f>
        <v>0</v>
      </c>
      <c r="E97" s="380">
        <f>VLOOKUP($A$92,TABLA_4[],10,FALSE)</f>
        <v>0</v>
      </c>
      <c r="F97" s="380">
        <f>VLOOKUP($A$92,TABLA_5[],10,FALSE)</f>
        <v>0</v>
      </c>
      <c r="G97" s="380">
        <f>VLOOKUP($A$92,TABLA_6[],10,FALSE)</f>
        <v>0.99984300000000004</v>
      </c>
      <c r="H97" s="380">
        <f>VLOOKUP($A$92,TABLA_7[],10,FALSE)</f>
        <v>0</v>
      </c>
      <c r="I97" s="380">
        <f>VLOOKUP($A$92,TABLA_8[],10,FALSE)</f>
        <v>0</v>
      </c>
      <c r="J97" s="380">
        <f>VLOOKUP($A$92,TABLA_9[],10,FALSE)</f>
        <v>0</v>
      </c>
      <c r="K97" s="380">
        <f>VLOOKUP($A$92,TABLA_10[],10,FALSE)</f>
        <v>0</v>
      </c>
      <c r="L97" s="380">
        <f>VLOOKUP($A$92,TABLA_11[],10,FALSE)</f>
        <v>0</v>
      </c>
      <c r="M97" s="380">
        <f>VLOOKUP($A$92,TABLA_12[],10,FALSE)</f>
        <v>0</v>
      </c>
      <c r="N97" s="380">
        <f>VLOOKUP($A$92,TABLA_13[],10,FALSE)</f>
        <v>0</v>
      </c>
      <c r="O97" s="6"/>
      <c r="P97" s="4">
        <f>COS(ATAN(P95/P93))</f>
        <v>0.99984300000000004</v>
      </c>
    </row>
    <row r="98" spans="1:18" x14ac:dyDescent="0.25">
      <c r="A98" s="36" t="s">
        <v>17</v>
      </c>
      <c r="B98" s="37" t="e">
        <f t="shared" ref="B98:N98" si="37">+B96/B93</f>
        <v>#DIV/0!</v>
      </c>
      <c r="C98" s="37" t="e">
        <f>+C96/C93</f>
        <v>#DIV/0!</v>
      </c>
      <c r="D98" s="37" t="e">
        <f t="shared" si="37"/>
        <v>#DIV/0!</v>
      </c>
      <c r="E98" s="37" t="e">
        <f t="shared" si="37"/>
        <v>#DIV/0!</v>
      </c>
      <c r="F98" s="37" t="e">
        <f t="shared" si="37"/>
        <v>#DIV/0!</v>
      </c>
      <c r="G98" s="37">
        <f t="shared" si="37"/>
        <v>0.58803512936264168</v>
      </c>
      <c r="H98" s="37" t="e">
        <f t="shared" si="37"/>
        <v>#DIV/0!</v>
      </c>
      <c r="I98" s="37" t="e">
        <f t="shared" si="37"/>
        <v>#DIV/0!</v>
      </c>
      <c r="J98" s="37" t="e">
        <f t="shared" si="37"/>
        <v>#DIV/0!</v>
      </c>
      <c r="K98" s="37" t="e">
        <f t="shared" si="37"/>
        <v>#DIV/0!</v>
      </c>
      <c r="L98" s="37" t="e">
        <f t="shared" si="37"/>
        <v>#DIV/0!</v>
      </c>
      <c r="M98" s="37" t="e">
        <f t="shared" si="37"/>
        <v>#DIV/0!</v>
      </c>
      <c r="N98" s="37" t="e">
        <f t="shared" si="37"/>
        <v>#DIV/0!</v>
      </c>
      <c r="O98" s="37"/>
      <c r="P98" s="4">
        <f>+P96/P93</f>
        <v>0.60763630034139648</v>
      </c>
    </row>
    <row r="99" spans="1:18" x14ac:dyDescent="0.25">
      <c r="A99" s="90"/>
      <c r="B99" s="77"/>
      <c r="C99" s="77"/>
      <c r="D99" s="77"/>
      <c r="E99" s="77"/>
      <c r="F99" s="77"/>
      <c r="G99" s="77"/>
      <c r="H99" s="77"/>
      <c r="I99" s="77"/>
      <c r="J99" s="77"/>
      <c r="K99" s="77"/>
      <c r="L99" s="77"/>
      <c r="M99" s="77"/>
      <c r="N99" s="77"/>
      <c r="O99" s="77"/>
      <c r="P99" s="83"/>
    </row>
    <row r="100" spans="1:18" x14ac:dyDescent="0.25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</row>
    <row r="101" spans="1:18" x14ac:dyDescent="0.25">
      <c r="A101" s="73" t="s">
        <v>10</v>
      </c>
      <c r="B101" s="72"/>
      <c r="C101" s="72"/>
      <c r="D101" s="72"/>
      <c r="E101" s="72"/>
      <c r="F101" s="72"/>
      <c r="G101" s="73"/>
      <c r="H101" s="73"/>
      <c r="I101" s="73"/>
      <c r="J101" s="73"/>
      <c r="K101" s="73"/>
      <c r="L101" s="53"/>
      <c r="M101" s="53"/>
      <c r="N101" s="53"/>
      <c r="O101" s="53"/>
      <c r="P101" s="8"/>
    </row>
    <row r="102" spans="1:18" x14ac:dyDescent="0.25">
      <c r="A102" s="54" t="s">
        <v>11</v>
      </c>
      <c r="B102" s="62">
        <f>B65+B72+B79+B86+B93</f>
        <v>0</v>
      </c>
      <c r="C102" s="62">
        <f>C65+C72+C79+C86+C93</f>
        <v>0</v>
      </c>
      <c r="D102" s="62">
        <f t="shared" ref="D102:N102" si="38">D65+D72+D79+D86+D93</f>
        <v>0</v>
      </c>
      <c r="E102" s="62">
        <f t="shared" si="38"/>
        <v>0</v>
      </c>
      <c r="F102" s="62">
        <f t="shared" si="38"/>
        <v>0</v>
      </c>
      <c r="G102" s="62">
        <f t="shared" si="38"/>
        <v>16900.120032999999</v>
      </c>
      <c r="H102" s="62">
        <f t="shared" si="38"/>
        <v>0</v>
      </c>
      <c r="I102" s="62">
        <f t="shared" si="38"/>
        <v>0</v>
      </c>
      <c r="J102" s="62">
        <f t="shared" si="38"/>
        <v>0</v>
      </c>
      <c r="K102" s="62">
        <f t="shared" si="38"/>
        <v>0</v>
      </c>
      <c r="L102" s="62">
        <f t="shared" si="38"/>
        <v>0</v>
      </c>
      <c r="M102" s="62">
        <f t="shared" si="38"/>
        <v>0</v>
      </c>
      <c r="N102" s="62">
        <f t="shared" si="38"/>
        <v>0</v>
      </c>
      <c r="O102" s="54"/>
      <c r="P102" s="42">
        <f>MAX(B102:N102)</f>
        <v>16900.120032999999</v>
      </c>
    </row>
    <row r="103" spans="1:18" x14ac:dyDescent="0.25">
      <c r="A103" s="54" t="s">
        <v>7</v>
      </c>
      <c r="B103" s="62">
        <f>B66+B73+B80+B87+B94</f>
        <v>0</v>
      </c>
      <c r="C103" s="62">
        <f>C66+C73+C80+C87+C94</f>
        <v>0</v>
      </c>
      <c r="D103" s="62">
        <f t="shared" ref="D103:N103" si="39">D66+D73+D80+D87+D94</f>
        <v>0</v>
      </c>
      <c r="E103" s="62">
        <f t="shared" si="39"/>
        <v>0</v>
      </c>
      <c r="F103" s="62">
        <f t="shared" si="39"/>
        <v>0</v>
      </c>
      <c r="G103" s="62">
        <f t="shared" si="39"/>
        <v>8757479.2615510002</v>
      </c>
      <c r="H103" s="62">
        <f t="shared" si="39"/>
        <v>0</v>
      </c>
      <c r="I103" s="62">
        <f t="shared" si="39"/>
        <v>0</v>
      </c>
      <c r="J103" s="62">
        <f t="shared" si="39"/>
        <v>0</v>
      </c>
      <c r="K103" s="62">
        <f t="shared" si="39"/>
        <v>0</v>
      </c>
      <c r="L103" s="62">
        <f t="shared" si="39"/>
        <v>0</v>
      </c>
      <c r="M103" s="62">
        <f t="shared" si="39"/>
        <v>0</v>
      </c>
      <c r="N103" s="62">
        <f t="shared" si="39"/>
        <v>0</v>
      </c>
      <c r="O103" s="62">
        <f>SUM(B103:N103)</f>
        <v>8757479.2615510002</v>
      </c>
      <c r="P103" s="9"/>
    </row>
    <row r="104" spans="1:18" s="24" customFormat="1" x14ac:dyDescent="0.25">
      <c r="A104" s="271" t="s">
        <v>13</v>
      </c>
      <c r="B104" s="376" t="s">
        <v>488</v>
      </c>
      <c r="C104" s="246"/>
      <c r="D104" s="246"/>
      <c r="E104" s="246"/>
      <c r="F104" s="246"/>
      <c r="G104" s="247"/>
      <c r="H104" s="247"/>
      <c r="I104" s="247"/>
      <c r="J104" s="247"/>
      <c r="K104" s="36"/>
      <c r="L104" s="36"/>
      <c r="M104" s="36"/>
      <c r="N104" s="36"/>
      <c r="O104" s="36"/>
      <c r="P104" s="36"/>
    </row>
    <row r="105" spans="1:18" x14ac:dyDescent="0.25">
      <c r="A105" s="36" t="s">
        <v>6</v>
      </c>
      <c r="B105" s="380">
        <f>VLOOKUP($B$104,BancoTabla_1[],5,FALSE)</f>
        <v>0</v>
      </c>
      <c r="C105" s="380">
        <f>VLOOKUP($B$104,BancoTabla_2[],5,FALSE)</f>
        <v>0</v>
      </c>
      <c r="D105" s="380">
        <f>VLOOKUP($B$104,BancoTabla_3[],5,FALSE)</f>
        <v>0</v>
      </c>
      <c r="E105" s="380">
        <f>VLOOKUP($B$104,BancoTabla_4[],5,FALSE)</f>
        <v>0</v>
      </c>
      <c r="F105" s="380">
        <f>VLOOKUP($B$104,BancoTabla_5[],5,FALSE)</f>
        <v>0</v>
      </c>
      <c r="G105" s="380">
        <f>VLOOKUP($B$104,BancoTabla_6[],5,FALSE)</f>
        <v>15899.8833</v>
      </c>
      <c r="H105" s="380">
        <f>VLOOKUP($B$104,BancoTabla_7[],5,FALSE)</f>
        <v>0</v>
      </c>
      <c r="I105" s="380">
        <f>VLOOKUP($B$104,BancoTabla_8[],5,FALSE)</f>
        <v>0</v>
      </c>
      <c r="J105" s="380">
        <f>VLOOKUP($B$104,BancoTabla_9[],5,FALSE)</f>
        <v>0</v>
      </c>
      <c r="K105" s="380">
        <f>VLOOKUP($B$104,BancoTabla_10[],5,FALSE)</f>
        <v>0</v>
      </c>
      <c r="L105" s="380">
        <f>VLOOKUP($B$104,BancoTabla_11[],5,FALSE)</f>
        <v>0</v>
      </c>
      <c r="M105" s="380">
        <f>VLOOKUP($B$104,BancoTabla_12[],5,FALSE)</f>
        <v>0</v>
      </c>
      <c r="N105" s="380">
        <f>VLOOKUP($B$104,BancoTabla_13[],5,FALSE)</f>
        <v>0</v>
      </c>
      <c r="O105" s="79"/>
      <c r="P105" s="43">
        <f>MAX(B105:N105)</f>
        <v>15899.8833</v>
      </c>
      <c r="Q105" s="334">
        <f>P105/1000</f>
        <v>15.899883299999999</v>
      </c>
    </row>
    <row r="106" spans="1:18" x14ac:dyDescent="0.25">
      <c r="A106" s="36" t="s">
        <v>7</v>
      </c>
      <c r="B106" s="380">
        <f>VLOOKUP($B$104,BancoTabla_1[],8,FALSE)</f>
        <v>0</v>
      </c>
      <c r="C106" s="380">
        <f>VLOOKUP($B$104,BancoTabla_2[],8,FALSE)</f>
        <v>0</v>
      </c>
      <c r="D106" s="380">
        <f>VLOOKUP($B$104,BancoTabla_3[],8,FALSE)</f>
        <v>0</v>
      </c>
      <c r="E106" s="380">
        <f>VLOOKUP($B$104,BancoTabla_4[],8,FALSE)</f>
        <v>0</v>
      </c>
      <c r="F106" s="380">
        <f>VLOOKUP($B$104,BancoTabla_5[],8,FALSE)</f>
        <v>0</v>
      </c>
      <c r="G106" s="380">
        <f>VLOOKUP($B$104,BancoTabla_6[],8,FALSE)</f>
        <v>8736837.6285970006</v>
      </c>
      <c r="H106" s="380">
        <f>VLOOKUP($B$104,BancoTabla_7[],8,FALSE)</f>
        <v>0</v>
      </c>
      <c r="I106" s="380">
        <f>VLOOKUP($B$104,BancoTabla_8[],8,FALSE)</f>
        <v>0</v>
      </c>
      <c r="J106" s="380">
        <f>VLOOKUP($B$104,BancoTabla_9[],8,FALSE)</f>
        <v>0</v>
      </c>
      <c r="K106" s="380">
        <f>VLOOKUP($B$104,BancoTabla_10[],8,FALSE)</f>
        <v>0</v>
      </c>
      <c r="L106" s="380">
        <f>VLOOKUP($B$104,BancoTabla_11[],8,FALSE)</f>
        <v>0</v>
      </c>
      <c r="M106" s="380">
        <f>VLOOKUP($B$104,BancoTabla_12[],8,FALSE)</f>
        <v>0</v>
      </c>
      <c r="N106" s="380">
        <f>VLOOKUP($B$104,BancoTabla_13[],8,FALSE)</f>
        <v>0</v>
      </c>
      <c r="O106" s="47">
        <f>SUM(B106:N106)</f>
        <v>8736837.6285970006</v>
      </c>
      <c r="P106" s="4">
        <f>SUM(B106:N106)/(COUNTIF(B106:N106,"&gt;0"))</f>
        <v>8736837.6285970006</v>
      </c>
      <c r="R106" s="39"/>
    </row>
    <row r="107" spans="1:18" x14ac:dyDescent="0.25">
      <c r="A107" s="36" t="s">
        <v>16</v>
      </c>
      <c r="B107" s="37" t="e">
        <f t="shared" ref="B107:M107" si="40">+((B105/B109)^2-(B105^2))^(0.5)</f>
        <v>#DIV/0!</v>
      </c>
      <c r="C107" s="37" t="e">
        <f>+((C105/C109)^2-(C105^2))^(0.5)</f>
        <v>#DIV/0!</v>
      </c>
      <c r="D107" s="37" t="e">
        <f t="shared" si="40"/>
        <v>#DIV/0!</v>
      </c>
      <c r="E107" s="37" t="e">
        <f t="shared" si="40"/>
        <v>#DIV/0!</v>
      </c>
      <c r="F107" s="37" t="e">
        <f t="shared" si="40"/>
        <v>#DIV/0!</v>
      </c>
      <c r="G107" s="37">
        <f t="shared" si="40"/>
        <v>275.42504338590857</v>
      </c>
      <c r="H107" s="37" t="e">
        <f t="shared" si="40"/>
        <v>#DIV/0!</v>
      </c>
      <c r="I107" s="37" t="e">
        <f t="shared" si="40"/>
        <v>#DIV/0!</v>
      </c>
      <c r="J107" s="37" t="e">
        <f t="shared" si="40"/>
        <v>#DIV/0!</v>
      </c>
      <c r="K107" s="37" t="e">
        <f t="shared" si="40"/>
        <v>#DIV/0!</v>
      </c>
      <c r="L107" s="37" t="e">
        <f t="shared" si="40"/>
        <v>#DIV/0!</v>
      </c>
      <c r="M107" s="37" t="e">
        <f t="shared" si="40"/>
        <v>#DIV/0!</v>
      </c>
      <c r="N107" s="37" t="e">
        <f>+((N105/N109)^2-(N105^2))^(0.5)</f>
        <v>#DIV/0!</v>
      </c>
      <c r="O107" s="37"/>
      <c r="P107" s="4">
        <f>HLOOKUP(P105,B105:N107,3,FALSE)</f>
        <v>275.42504338590857</v>
      </c>
    </row>
    <row r="108" spans="1:18" x14ac:dyDescent="0.25">
      <c r="A108" s="36" t="s">
        <v>8</v>
      </c>
      <c r="B108" s="37">
        <f t="shared" ref="B108:M108" si="41">+B106/(24*B$8)</f>
        <v>0</v>
      </c>
      <c r="C108" s="37">
        <f>+C106/(24*C$8)</f>
        <v>0</v>
      </c>
      <c r="D108" s="37">
        <f t="shared" si="41"/>
        <v>0</v>
      </c>
      <c r="E108" s="37">
        <f t="shared" si="41"/>
        <v>0</v>
      </c>
      <c r="F108" s="37">
        <f t="shared" si="41"/>
        <v>0</v>
      </c>
      <c r="G108" s="37">
        <f>+G106/(24*G$8)</f>
        <v>11743.06132875941</v>
      </c>
      <c r="H108" s="37">
        <f t="shared" si="41"/>
        <v>0</v>
      </c>
      <c r="I108" s="37">
        <f t="shared" si="41"/>
        <v>0</v>
      </c>
      <c r="J108" s="37">
        <f t="shared" si="41"/>
        <v>0</v>
      </c>
      <c r="K108" s="37">
        <f t="shared" si="41"/>
        <v>0</v>
      </c>
      <c r="L108" s="37">
        <f t="shared" si="41"/>
        <v>0</v>
      </c>
      <c r="M108" s="37">
        <f t="shared" si="41"/>
        <v>0</v>
      </c>
      <c r="N108" s="37">
        <f>+N106/(24*N$8)</f>
        <v>0</v>
      </c>
      <c r="O108" s="6">
        <f>SUM(O106)/(24*O$8)</f>
        <v>997.35589367545674</v>
      </c>
      <c r="P108" s="4">
        <f>O106/(COUNTIF(B106:N106,"&gt;0")*720)</f>
        <v>12134.496706384723</v>
      </c>
    </row>
    <row r="109" spans="1:18" x14ac:dyDescent="0.25">
      <c r="A109" s="36" t="s">
        <v>9</v>
      </c>
      <c r="B109" s="380">
        <f>VLOOKUP($B$104,BancoTabla_1[],10,FALSE)</f>
        <v>0</v>
      </c>
      <c r="C109" s="380">
        <f>VLOOKUP($B$104,BancoTabla_2[],10,FALSE)</f>
        <v>0</v>
      </c>
      <c r="D109" s="380">
        <f>VLOOKUP($B$104,BancoTabla_3[],10,FALSE)</f>
        <v>0</v>
      </c>
      <c r="E109" s="380">
        <f>VLOOKUP($B$104,BancoTabla_4[],10,FALSE)</f>
        <v>0</v>
      </c>
      <c r="F109" s="380">
        <f>VLOOKUP($B$104,BancoTabla_5[],10,FALSE)</f>
        <v>0</v>
      </c>
      <c r="G109" s="380">
        <f>VLOOKUP($B$104,BancoTabla_6[],10,FALSE)</f>
        <v>0.99985000000000002</v>
      </c>
      <c r="H109" s="380">
        <f>VLOOKUP($B$104,BancoTabla_7[],10,FALSE)</f>
        <v>0</v>
      </c>
      <c r="I109" s="380">
        <f>VLOOKUP($B$104,BancoTabla_8[],10,FALSE)</f>
        <v>0</v>
      </c>
      <c r="J109" s="380">
        <f>VLOOKUP($B$104,BancoTabla_9[],10,FALSE)</f>
        <v>0</v>
      </c>
      <c r="K109" s="380">
        <f>VLOOKUP($B$104,BancoTabla_10[],10,FALSE)</f>
        <v>0</v>
      </c>
      <c r="L109" s="380">
        <f>VLOOKUP($B$104,BancoTabla_11[],10,FALSE)</f>
        <v>0</v>
      </c>
      <c r="M109" s="380">
        <f>VLOOKUP($B$104,BancoTabla_12[],10,FALSE)</f>
        <v>0</v>
      </c>
      <c r="N109" s="380">
        <f>VLOOKUP($B$104,BancoTabla_13[],10,FALSE)</f>
        <v>0</v>
      </c>
      <c r="O109" s="6"/>
      <c r="P109" s="4">
        <f>COS(ATAN(P107/P105))</f>
        <v>0.99985000000000002</v>
      </c>
    </row>
    <row r="110" spans="1:18" x14ac:dyDescent="0.25">
      <c r="A110" s="36" t="s">
        <v>17</v>
      </c>
      <c r="B110" s="37" t="e">
        <f>+B108/B105</f>
        <v>#DIV/0!</v>
      </c>
      <c r="C110" s="37" t="e">
        <f>+C108/C105</f>
        <v>#DIV/0!</v>
      </c>
      <c r="D110" s="37" t="e">
        <f t="shared" ref="D110:M110" si="42">+D108/D105</f>
        <v>#DIV/0!</v>
      </c>
      <c r="E110" s="37" t="e">
        <f t="shared" si="42"/>
        <v>#DIV/0!</v>
      </c>
      <c r="F110" s="37" t="e">
        <f t="shared" si="42"/>
        <v>#DIV/0!</v>
      </c>
      <c r="G110" s="37">
        <f>+G108/G105</f>
        <v>0.73856273704596376</v>
      </c>
      <c r="H110" s="37" t="e">
        <f t="shared" si="42"/>
        <v>#DIV/0!</v>
      </c>
      <c r="I110" s="37" t="e">
        <f t="shared" si="42"/>
        <v>#DIV/0!</v>
      </c>
      <c r="J110" s="37" t="e">
        <f t="shared" si="42"/>
        <v>#DIV/0!</v>
      </c>
      <c r="K110" s="37" t="e">
        <f t="shared" si="42"/>
        <v>#DIV/0!</v>
      </c>
      <c r="L110" s="37" t="e">
        <f t="shared" si="42"/>
        <v>#DIV/0!</v>
      </c>
      <c r="M110" s="37" t="e">
        <f t="shared" si="42"/>
        <v>#DIV/0!</v>
      </c>
      <c r="N110" s="37" t="e">
        <f>+N108/N105</f>
        <v>#DIV/0!</v>
      </c>
      <c r="O110" s="6"/>
      <c r="P110" s="4">
        <f>+P108/P105</f>
        <v>0.76318149494749588</v>
      </c>
    </row>
    <row r="111" spans="1:18" x14ac:dyDescent="0.25">
      <c r="A111" s="36" t="s">
        <v>18</v>
      </c>
      <c r="B111" s="37" t="e">
        <f t="shared" ref="B111:M111" si="43">+B102/B105</f>
        <v>#DIV/0!</v>
      </c>
      <c r="C111" s="37" t="e">
        <f>+C102/C105</f>
        <v>#DIV/0!</v>
      </c>
      <c r="D111" s="37" t="e">
        <f t="shared" si="43"/>
        <v>#DIV/0!</v>
      </c>
      <c r="E111" s="37" t="e">
        <f t="shared" si="43"/>
        <v>#DIV/0!</v>
      </c>
      <c r="F111" s="37" t="e">
        <f t="shared" si="43"/>
        <v>#DIV/0!</v>
      </c>
      <c r="G111" s="37">
        <f t="shared" si="43"/>
        <v>1.0629084323530853</v>
      </c>
      <c r="H111" s="37" t="e">
        <f t="shared" si="43"/>
        <v>#DIV/0!</v>
      </c>
      <c r="I111" s="37" t="e">
        <f>+I102/I105</f>
        <v>#DIV/0!</v>
      </c>
      <c r="J111" s="37" t="e">
        <f t="shared" si="43"/>
        <v>#DIV/0!</v>
      </c>
      <c r="K111" s="37" t="e">
        <f t="shared" si="43"/>
        <v>#DIV/0!</v>
      </c>
      <c r="L111" s="37" t="e">
        <f t="shared" si="43"/>
        <v>#DIV/0!</v>
      </c>
      <c r="M111" s="37" t="e">
        <f t="shared" si="43"/>
        <v>#DIV/0!</v>
      </c>
      <c r="N111" s="37" t="e">
        <f>+N102/N105</f>
        <v>#DIV/0!</v>
      </c>
      <c r="O111" s="6"/>
      <c r="P111" s="4">
        <f>+P102/P105</f>
        <v>1.0629084323530853</v>
      </c>
    </row>
    <row r="112" spans="1:18" x14ac:dyDescent="0.25">
      <c r="A112" s="36" t="s">
        <v>19</v>
      </c>
      <c r="B112" s="37">
        <f>+B105/$B$113</f>
        <v>0</v>
      </c>
      <c r="C112" s="37">
        <f>+C105/$B$113</f>
        <v>0</v>
      </c>
      <c r="D112" s="37">
        <f t="shared" ref="D112:M112" si="44">+D105/$B$113</f>
        <v>0</v>
      </c>
      <c r="E112" s="37">
        <f t="shared" si="44"/>
        <v>0</v>
      </c>
      <c r="F112" s="37">
        <f t="shared" si="44"/>
        <v>0</v>
      </c>
      <c r="G112" s="37">
        <f t="shared" si="44"/>
        <v>0.53007562134320141</v>
      </c>
      <c r="H112" s="37">
        <f t="shared" si="44"/>
        <v>0</v>
      </c>
      <c r="I112" s="37">
        <f t="shared" si="44"/>
        <v>0</v>
      </c>
      <c r="J112" s="37">
        <f t="shared" si="44"/>
        <v>0</v>
      </c>
      <c r="K112" s="37">
        <f t="shared" si="44"/>
        <v>0</v>
      </c>
      <c r="L112" s="37">
        <f t="shared" si="44"/>
        <v>0</v>
      </c>
      <c r="M112" s="37">
        <f t="shared" si="44"/>
        <v>0</v>
      </c>
      <c r="N112" s="37">
        <f>+N105/$B$113</f>
        <v>0</v>
      </c>
      <c r="O112" s="6"/>
      <c r="P112" s="4">
        <f>+P105/B113</f>
        <v>0.53007562134320141</v>
      </c>
    </row>
    <row r="113" spans="1:16" x14ac:dyDescent="0.25">
      <c r="A113" s="36" t="s">
        <v>20</v>
      </c>
      <c r="B113" s="37">
        <f>30*P109*1000</f>
        <v>29995.5</v>
      </c>
      <c r="C113" s="37"/>
      <c r="D113" s="37"/>
      <c r="E113" s="37"/>
      <c r="F113" s="37"/>
      <c r="G113" s="37"/>
      <c r="H113" s="37"/>
      <c r="I113" s="37"/>
      <c r="J113" s="37"/>
      <c r="K113" s="37"/>
      <c r="L113" s="37"/>
      <c r="M113" s="37"/>
      <c r="N113" s="37"/>
      <c r="O113" s="37"/>
      <c r="P113" s="4"/>
    </row>
    <row r="114" spans="1:16" x14ac:dyDescent="0.25">
      <c r="A114" s="84"/>
      <c r="B114" s="237">
        <f>B105/$B$113</f>
        <v>0</v>
      </c>
      <c r="C114" s="237">
        <f>C105/$B$113</f>
        <v>0</v>
      </c>
      <c r="D114" s="237">
        <f t="shared" ref="D114:N114" si="45">D105/$B$113</f>
        <v>0</v>
      </c>
      <c r="E114" s="237">
        <f t="shared" si="45"/>
        <v>0</v>
      </c>
      <c r="F114" s="237">
        <f t="shared" si="45"/>
        <v>0</v>
      </c>
      <c r="G114" s="237">
        <f t="shared" si="45"/>
        <v>0.53007562134320141</v>
      </c>
      <c r="H114" s="237">
        <f t="shared" si="45"/>
        <v>0</v>
      </c>
      <c r="I114" s="237">
        <f t="shared" si="45"/>
        <v>0</v>
      </c>
      <c r="J114" s="237">
        <f t="shared" si="45"/>
        <v>0</v>
      </c>
      <c r="K114" s="237">
        <f t="shared" si="45"/>
        <v>0</v>
      </c>
      <c r="L114" s="237">
        <f t="shared" si="45"/>
        <v>0</v>
      </c>
      <c r="M114" s="237">
        <f t="shared" si="45"/>
        <v>0</v>
      </c>
      <c r="N114" s="237">
        <f t="shared" si="45"/>
        <v>0</v>
      </c>
      <c r="O114" s="35"/>
      <c r="P114" s="33"/>
    </row>
    <row r="115" spans="1:16" x14ac:dyDescent="0.25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</row>
    <row r="116" spans="1:16" s="24" customFormat="1" x14ac:dyDescent="0.25">
      <c r="A116" s="271" t="s">
        <v>322</v>
      </c>
      <c r="B116" s="65"/>
      <c r="C116" s="65"/>
      <c r="D116" s="65"/>
      <c r="E116" s="65"/>
      <c r="F116" s="65"/>
      <c r="G116" s="66"/>
      <c r="H116" s="66"/>
      <c r="I116" s="66"/>
      <c r="J116" s="66"/>
      <c r="K116" s="50"/>
      <c r="L116" s="50"/>
      <c r="M116" s="50"/>
      <c r="N116" s="50"/>
      <c r="O116" s="50"/>
      <c r="P116" s="50"/>
    </row>
    <row r="117" spans="1:16" x14ac:dyDescent="0.25">
      <c r="A117" s="36" t="s">
        <v>6</v>
      </c>
      <c r="B117" s="380">
        <f>VLOOKUP($A$116,TABLA_1[],5,FALSE)</f>
        <v>0</v>
      </c>
      <c r="C117" s="380">
        <f>VLOOKUP($A$116,TABLA_2[],5,FALSE)</f>
        <v>0</v>
      </c>
      <c r="D117" s="380">
        <f>VLOOKUP($A$116,TABLA_3[],5,FALSE)</f>
        <v>0</v>
      </c>
      <c r="E117" s="380">
        <f>VLOOKUP($A$116,TABLA_4[],5,FALSE)</f>
        <v>0</v>
      </c>
      <c r="F117" s="380">
        <f>VLOOKUP($A$116,TABLA_5[],5,FALSE)</f>
        <v>0</v>
      </c>
      <c r="G117" s="380">
        <f>VLOOKUP($A$116,TABLA_6[],5,FALSE)</f>
        <v>3260.216715</v>
      </c>
      <c r="H117" s="380">
        <f>VLOOKUP($A$116,TABLA_7[],5,FALSE)</f>
        <v>0</v>
      </c>
      <c r="I117" s="380">
        <f>VLOOKUP($A$116,TABLA_8[],5,FALSE)</f>
        <v>0</v>
      </c>
      <c r="J117" s="380">
        <f>VLOOKUP($A$116,TABLA_9[],5,FALSE)</f>
        <v>0</v>
      </c>
      <c r="K117" s="380">
        <f>VLOOKUP($A$116,TABLA_10[],5,FALSE)</f>
        <v>0</v>
      </c>
      <c r="L117" s="380">
        <f>VLOOKUP($A$116,TABLA_11[],5,FALSE)</f>
        <v>0</v>
      </c>
      <c r="M117" s="380">
        <f>VLOOKUP($A$116,TABLA_12[],5,FALSE)</f>
        <v>0</v>
      </c>
      <c r="N117" s="380">
        <f>VLOOKUP($A$116,TABLA_13[],5,FALSE)</f>
        <v>0</v>
      </c>
      <c r="O117" s="6"/>
      <c r="P117" s="43">
        <f>MAX(B117:N117)</f>
        <v>3260.216715</v>
      </c>
    </row>
    <row r="118" spans="1:16" x14ac:dyDescent="0.25">
      <c r="A118" s="36" t="s">
        <v>7</v>
      </c>
      <c r="B118" s="380">
        <f>VLOOKUP($A$116,TABLA_1[],8,FALSE)</f>
        <v>0</v>
      </c>
      <c r="C118" s="380">
        <f>VLOOKUP($A$116,TABLA_2[],8,FALSE)</f>
        <v>0</v>
      </c>
      <c r="D118" s="380">
        <f>VLOOKUP($A$116,TABLA_3[],8,FALSE)</f>
        <v>0</v>
      </c>
      <c r="E118" s="380">
        <f>VLOOKUP($A$116,TABLA_4[],8,FALSE)</f>
        <v>0</v>
      </c>
      <c r="F118" s="380">
        <f>VLOOKUP($A$116,TABLA_5[],8,FALSE)</f>
        <v>0</v>
      </c>
      <c r="G118" s="380">
        <f>VLOOKUP($A$116,TABLA_6[],8,FALSE)</f>
        <v>1803963.9716719999</v>
      </c>
      <c r="H118" s="380">
        <f>VLOOKUP($A$116,TABLA_7[],8,FALSE)</f>
        <v>0</v>
      </c>
      <c r="I118" s="380">
        <f>VLOOKUP($A$116,TABLA_8[],8,FALSE)</f>
        <v>0</v>
      </c>
      <c r="J118" s="380">
        <f>VLOOKUP($A$116,TABLA_9[],8,FALSE)</f>
        <v>0</v>
      </c>
      <c r="K118" s="380">
        <f>VLOOKUP($A$116,TABLA_10[],8,FALSE)</f>
        <v>0</v>
      </c>
      <c r="L118" s="380">
        <f>VLOOKUP($A$116,TABLA_11[],8,FALSE)</f>
        <v>0</v>
      </c>
      <c r="M118" s="380">
        <f>VLOOKUP($A$116,TABLA_12[],8,FALSE)</f>
        <v>0</v>
      </c>
      <c r="N118" s="380">
        <f>VLOOKUP($A$116,TABLA_13[],8,FALSE)</f>
        <v>0</v>
      </c>
      <c r="O118" s="47">
        <f>SUM(B118:N118)</f>
        <v>1803963.9716719999</v>
      </c>
      <c r="P118" s="43">
        <f>SUM(B118:N118)/(COUNTIF(B118:N118,"&gt;0"))</f>
        <v>1803963.9716719999</v>
      </c>
    </row>
    <row r="119" spans="1:16" x14ac:dyDescent="0.25">
      <c r="A119" s="36" t="s">
        <v>16</v>
      </c>
      <c r="B119" s="37" t="e">
        <f t="shared" ref="B119:N119" si="46">+((B117/B121)^2-(B117^2))^(0.5)</f>
        <v>#DIV/0!</v>
      </c>
      <c r="C119" s="37" t="e">
        <f>+((C117/C121)^2-(C117^2))^(0.5)</f>
        <v>#DIV/0!</v>
      </c>
      <c r="D119" s="37" t="e">
        <f t="shared" si="46"/>
        <v>#DIV/0!</v>
      </c>
      <c r="E119" s="37" t="e">
        <f t="shared" si="46"/>
        <v>#DIV/0!</v>
      </c>
      <c r="F119" s="37" t="e">
        <f t="shared" si="46"/>
        <v>#DIV/0!</v>
      </c>
      <c r="G119" s="37">
        <f t="shared" si="46"/>
        <v>313.79262560118525</v>
      </c>
      <c r="H119" s="37" t="e">
        <f t="shared" si="46"/>
        <v>#DIV/0!</v>
      </c>
      <c r="I119" s="37" t="e">
        <f t="shared" si="46"/>
        <v>#DIV/0!</v>
      </c>
      <c r="J119" s="37" t="e">
        <f t="shared" si="46"/>
        <v>#DIV/0!</v>
      </c>
      <c r="K119" s="37" t="e">
        <f t="shared" si="46"/>
        <v>#DIV/0!</v>
      </c>
      <c r="L119" s="37" t="e">
        <f t="shared" si="46"/>
        <v>#DIV/0!</v>
      </c>
      <c r="M119" s="37" t="e">
        <f t="shared" si="46"/>
        <v>#DIV/0!</v>
      </c>
      <c r="N119" s="37" t="e">
        <f t="shared" si="46"/>
        <v>#DIV/0!</v>
      </c>
      <c r="O119" s="37"/>
      <c r="P119" s="4">
        <f>HLOOKUP(P117,B117:N119,3,FALSE)</f>
        <v>313.79262560118525</v>
      </c>
    </row>
    <row r="120" spans="1:16" x14ac:dyDescent="0.25">
      <c r="A120" s="36" t="s">
        <v>8</v>
      </c>
      <c r="B120" s="37">
        <f t="shared" ref="B120:N120" si="47">+B118/(24*B$8)</f>
        <v>0</v>
      </c>
      <c r="C120" s="37">
        <f>+C118/(24*C$8)</f>
        <v>0</v>
      </c>
      <c r="D120" s="37">
        <f t="shared" si="47"/>
        <v>0</v>
      </c>
      <c r="E120" s="37">
        <f t="shared" si="47"/>
        <v>0</v>
      </c>
      <c r="F120" s="37">
        <f t="shared" si="47"/>
        <v>0</v>
      </c>
      <c r="G120" s="37">
        <f>+G118/(24*G$8)</f>
        <v>2424.6827576236556</v>
      </c>
      <c r="H120" s="37">
        <f t="shared" si="47"/>
        <v>0</v>
      </c>
      <c r="I120" s="37">
        <f t="shared" si="47"/>
        <v>0</v>
      </c>
      <c r="J120" s="37">
        <f t="shared" si="47"/>
        <v>0</v>
      </c>
      <c r="K120" s="37">
        <f t="shared" si="47"/>
        <v>0</v>
      </c>
      <c r="L120" s="37">
        <f t="shared" si="47"/>
        <v>0</v>
      </c>
      <c r="M120" s="37">
        <f t="shared" si="47"/>
        <v>0</v>
      </c>
      <c r="N120" s="37">
        <f t="shared" si="47"/>
        <v>0</v>
      </c>
      <c r="O120" s="6">
        <f>SUM(O118)/(24*O$8)</f>
        <v>205.93196023652968</v>
      </c>
      <c r="P120" s="4">
        <f>O118/(COUNTIF(B118:N118,"&gt;0")*720)</f>
        <v>2505.5055162111112</v>
      </c>
    </row>
    <row r="121" spans="1:16" x14ac:dyDescent="0.25">
      <c r="A121" s="36" t="s">
        <v>9</v>
      </c>
      <c r="B121" s="380">
        <f>VLOOKUP($A$116,TABLA_1[],10,FALSE)</f>
        <v>0</v>
      </c>
      <c r="C121" s="380">
        <f>VLOOKUP($A$116,TABLA_2[],10,FALSE)</f>
        <v>0</v>
      </c>
      <c r="D121" s="380">
        <f>VLOOKUP($A$116,TABLA_3[],10,FALSE)</f>
        <v>0</v>
      </c>
      <c r="E121" s="380">
        <f>VLOOKUP($A$116,TABLA_4[],10,FALSE)</f>
        <v>0</v>
      </c>
      <c r="F121" s="380">
        <f>VLOOKUP($A$116,TABLA_5[],10,FALSE)</f>
        <v>0</v>
      </c>
      <c r="G121" s="380">
        <f>VLOOKUP($A$116,TABLA_6[],10,FALSE)</f>
        <v>0.99539999999999995</v>
      </c>
      <c r="H121" s="380">
        <f>VLOOKUP($A$116,TABLA_7[],10,FALSE)</f>
        <v>0</v>
      </c>
      <c r="I121" s="380">
        <f>VLOOKUP($A$116,TABLA_8[],10,FALSE)</f>
        <v>0</v>
      </c>
      <c r="J121" s="380">
        <f>VLOOKUP($A$116,TABLA_9[],10,FALSE)</f>
        <v>0</v>
      </c>
      <c r="K121" s="380">
        <f>VLOOKUP($A$116,TABLA_10[],10,FALSE)</f>
        <v>0</v>
      </c>
      <c r="L121" s="380">
        <f>VLOOKUP($A$116,TABLA_11[],10,FALSE)</f>
        <v>0</v>
      </c>
      <c r="M121" s="380">
        <f>VLOOKUP($A$116,TABLA_12[],10,FALSE)</f>
        <v>0</v>
      </c>
      <c r="N121" s="380">
        <f>VLOOKUP($A$116,TABLA_13[],10,FALSE)</f>
        <v>0</v>
      </c>
      <c r="O121" s="6"/>
      <c r="P121" s="4">
        <f>COS(ATAN(P119/P117))</f>
        <v>0.99539999999999995</v>
      </c>
    </row>
    <row r="122" spans="1:16" x14ac:dyDescent="0.25">
      <c r="A122" s="36" t="s">
        <v>17</v>
      </c>
      <c r="B122" s="37" t="e">
        <f t="shared" ref="B122:N122" si="48">+B120/B117</f>
        <v>#DIV/0!</v>
      </c>
      <c r="C122" s="37" t="e">
        <f>+C120/C117</f>
        <v>#DIV/0!</v>
      </c>
      <c r="D122" s="37" t="e">
        <f t="shared" si="48"/>
        <v>#DIV/0!</v>
      </c>
      <c r="E122" s="37" t="e">
        <f t="shared" si="48"/>
        <v>#DIV/0!</v>
      </c>
      <c r="F122" s="37" t="e">
        <f t="shared" si="48"/>
        <v>#DIV/0!</v>
      </c>
      <c r="G122" s="37">
        <f t="shared" si="48"/>
        <v>0.74371827690713976</v>
      </c>
      <c r="H122" s="37" t="e">
        <f t="shared" si="48"/>
        <v>#DIV/0!</v>
      </c>
      <c r="I122" s="37" t="e">
        <f t="shared" si="48"/>
        <v>#DIV/0!</v>
      </c>
      <c r="J122" s="37" t="e">
        <f t="shared" si="48"/>
        <v>#DIV/0!</v>
      </c>
      <c r="K122" s="37" t="e">
        <f t="shared" si="48"/>
        <v>#DIV/0!</v>
      </c>
      <c r="L122" s="37" t="e">
        <f t="shared" si="48"/>
        <v>#DIV/0!</v>
      </c>
      <c r="M122" s="37" t="e">
        <f t="shared" si="48"/>
        <v>#DIV/0!</v>
      </c>
      <c r="N122" s="37" t="e">
        <f t="shared" si="48"/>
        <v>#DIV/0!</v>
      </c>
      <c r="O122" s="6"/>
      <c r="P122" s="4">
        <f>+P120/P117</f>
        <v>0.76850888613737789</v>
      </c>
    </row>
    <row r="123" spans="1:16" s="24" customFormat="1" x14ac:dyDescent="0.25">
      <c r="A123" s="364" t="s">
        <v>323</v>
      </c>
      <c r="B123" s="65"/>
      <c r="C123" s="65"/>
      <c r="D123" s="65"/>
      <c r="E123" s="65"/>
      <c r="F123" s="65"/>
      <c r="G123" s="66"/>
      <c r="H123" s="66"/>
      <c r="I123" s="66"/>
      <c r="J123" s="66"/>
      <c r="K123" s="50"/>
      <c r="L123" s="50"/>
      <c r="M123" s="50"/>
      <c r="N123" s="50"/>
      <c r="O123" s="50"/>
      <c r="P123" s="50"/>
    </row>
    <row r="124" spans="1:16" x14ac:dyDescent="0.25">
      <c r="A124" s="36" t="s">
        <v>6</v>
      </c>
      <c r="B124" s="380" t="e">
        <f>VLOOKUP($A$123,TABLA_1[],5,FALSE)</f>
        <v>#N/A</v>
      </c>
      <c r="C124" s="380" t="e">
        <f>VLOOKUP($A$123,TABLA_2[],5,FALSE)</f>
        <v>#N/A</v>
      </c>
      <c r="D124" s="380" t="e">
        <f>VLOOKUP($A$123,TABLA_3[],5,FALSE)</f>
        <v>#N/A</v>
      </c>
      <c r="E124" s="380" t="e">
        <f>VLOOKUP($A$123,TABLA_4[],5,FALSE)</f>
        <v>#N/A</v>
      </c>
      <c r="F124" s="380" t="e">
        <f>VLOOKUP($A$123,TABLA_5[],5,FALSE)</f>
        <v>#N/A</v>
      </c>
      <c r="G124" s="380" t="e">
        <f>VLOOKUP($A$123,TABLA_6[],5,FALSE)</f>
        <v>#N/A</v>
      </c>
      <c r="H124" s="380" t="e">
        <f>VLOOKUP($A$123,TABLA_7[],5,FALSE)</f>
        <v>#N/A</v>
      </c>
      <c r="I124" s="380" t="e">
        <f>VLOOKUP($A$123,TABLA_8[],5,FALSE)</f>
        <v>#N/A</v>
      </c>
      <c r="J124" s="380" t="e">
        <f>VLOOKUP($A$123,TABLA_9[],5,FALSE)</f>
        <v>#N/A</v>
      </c>
      <c r="K124" s="380" t="e">
        <f>VLOOKUP($A$123,TABLA_10[],5,FALSE)</f>
        <v>#N/A</v>
      </c>
      <c r="L124" s="380" t="e">
        <f>VLOOKUP($A$123,TABLA_11[],5,FALSE)</f>
        <v>#N/A</v>
      </c>
      <c r="M124" s="380" t="e">
        <f>VLOOKUP($A$123,TABLA_12[],5,FALSE)</f>
        <v>#N/A</v>
      </c>
      <c r="N124" s="380" t="e">
        <f>VLOOKUP($A$123,TABLA_13[],5,FALSE)</f>
        <v>#N/A</v>
      </c>
      <c r="O124" s="6"/>
      <c r="P124" s="43" t="e">
        <f>MAX(B124:N124)</f>
        <v>#N/A</v>
      </c>
    </row>
    <row r="125" spans="1:16" x14ac:dyDescent="0.25">
      <c r="A125" s="36" t="s">
        <v>7</v>
      </c>
      <c r="B125" s="380" t="e">
        <f>VLOOKUP($A$123,TABLA_1[],8,FALSE)</f>
        <v>#N/A</v>
      </c>
      <c r="C125" s="380" t="e">
        <f>VLOOKUP($A$123,TABLA_2[],8,FALSE)</f>
        <v>#N/A</v>
      </c>
      <c r="D125" s="380" t="e">
        <f>VLOOKUP($A$123,TABLA_3[],8,FALSE)</f>
        <v>#N/A</v>
      </c>
      <c r="E125" s="380" t="e">
        <f>VLOOKUP($A$123,TABLA_4[],8,FALSE)</f>
        <v>#N/A</v>
      </c>
      <c r="F125" s="380" t="e">
        <f>VLOOKUP($A$123,TABLA_5[],8,FALSE)</f>
        <v>#N/A</v>
      </c>
      <c r="G125" s="380" t="e">
        <f>VLOOKUP($A$123,TABLA_6[],8,FALSE)</f>
        <v>#N/A</v>
      </c>
      <c r="H125" s="380" t="e">
        <f>VLOOKUP($A$123,TABLA_7[],8,FALSE)</f>
        <v>#N/A</v>
      </c>
      <c r="I125" s="380" t="e">
        <f>VLOOKUP($A$123,TABLA_8[],8,FALSE)</f>
        <v>#N/A</v>
      </c>
      <c r="J125" s="380" t="e">
        <f>VLOOKUP($A$123,TABLA_9[],8,FALSE)</f>
        <v>#N/A</v>
      </c>
      <c r="K125" s="380" t="e">
        <f>VLOOKUP($A$123,TABLA_10[],8,FALSE)</f>
        <v>#N/A</v>
      </c>
      <c r="L125" s="380" t="e">
        <f>VLOOKUP($A$123,TABLA_11[],8,FALSE)</f>
        <v>#N/A</v>
      </c>
      <c r="M125" s="380" t="e">
        <f>VLOOKUP($A$123,TABLA_12[],8,FALSE)</f>
        <v>#N/A</v>
      </c>
      <c r="N125" s="380" t="e">
        <f>VLOOKUP($A$123,TABLA_13[],8,FALSE)</f>
        <v>#N/A</v>
      </c>
      <c r="O125" s="47" t="e">
        <f>SUM(B125:N125)</f>
        <v>#N/A</v>
      </c>
      <c r="P125" s="43" t="e">
        <f>SUM(B125:N125)/(COUNTIF(B125:N125,"&gt;0"))</f>
        <v>#N/A</v>
      </c>
    </row>
    <row r="126" spans="1:16" x14ac:dyDescent="0.25">
      <c r="A126" s="36" t="s">
        <v>16</v>
      </c>
      <c r="B126" s="37" t="e">
        <f t="shared" ref="B126:N126" si="49">+((B124/B128)^2-(B124^2))^(0.5)</f>
        <v>#N/A</v>
      </c>
      <c r="C126" s="37" t="e">
        <f>+((C124/C128)^2-(C124^2))^(0.5)</f>
        <v>#N/A</v>
      </c>
      <c r="D126" s="37" t="e">
        <f t="shared" si="49"/>
        <v>#N/A</v>
      </c>
      <c r="E126" s="37" t="e">
        <f t="shared" si="49"/>
        <v>#N/A</v>
      </c>
      <c r="F126" s="37" t="e">
        <f t="shared" si="49"/>
        <v>#N/A</v>
      </c>
      <c r="G126" s="37" t="e">
        <f t="shared" si="49"/>
        <v>#N/A</v>
      </c>
      <c r="H126" s="37" t="e">
        <f t="shared" si="49"/>
        <v>#N/A</v>
      </c>
      <c r="I126" s="37" t="e">
        <f t="shared" si="49"/>
        <v>#N/A</v>
      </c>
      <c r="J126" s="37" t="e">
        <f t="shared" si="49"/>
        <v>#N/A</v>
      </c>
      <c r="K126" s="37" t="e">
        <f t="shared" si="49"/>
        <v>#N/A</v>
      </c>
      <c r="L126" s="37" t="e">
        <f t="shared" si="49"/>
        <v>#N/A</v>
      </c>
      <c r="M126" s="37" t="e">
        <f t="shared" si="49"/>
        <v>#N/A</v>
      </c>
      <c r="N126" s="37" t="e">
        <f t="shared" si="49"/>
        <v>#N/A</v>
      </c>
      <c r="O126" s="37"/>
      <c r="P126" s="4" t="e">
        <f>HLOOKUP(P124,B124:N126,3,FALSE)</f>
        <v>#N/A</v>
      </c>
    </row>
    <row r="127" spans="1:16" x14ac:dyDescent="0.25">
      <c r="A127" s="36" t="s">
        <v>8</v>
      </c>
      <c r="B127" s="37" t="e">
        <f t="shared" ref="B127:N127" si="50">+B125/(24*B$8)</f>
        <v>#N/A</v>
      </c>
      <c r="C127" s="37" t="e">
        <f>+C125/(24*C$8)</f>
        <v>#N/A</v>
      </c>
      <c r="D127" s="37" t="e">
        <f t="shared" si="50"/>
        <v>#N/A</v>
      </c>
      <c r="E127" s="37" t="e">
        <f t="shared" si="50"/>
        <v>#N/A</v>
      </c>
      <c r="F127" s="37" t="e">
        <f t="shared" si="50"/>
        <v>#N/A</v>
      </c>
      <c r="G127" s="37" t="e">
        <f t="shared" si="50"/>
        <v>#N/A</v>
      </c>
      <c r="H127" s="37" t="e">
        <f t="shared" si="50"/>
        <v>#N/A</v>
      </c>
      <c r="I127" s="37" t="e">
        <f t="shared" si="50"/>
        <v>#N/A</v>
      </c>
      <c r="J127" s="37" t="e">
        <f t="shared" si="50"/>
        <v>#N/A</v>
      </c>
      <c r="K127" s="37" t="e">
        <f t="shared" si="50"/>
        <v>#N/A</v>
      </c>
      <c r="L127" s="37" t="e">
        <f t="shared" si="50"/>
        <v>#N/A</v>
      </c>
      <c r="M127" s="37" t="e">
        <f t="shared" si="50"/>
        <v>#N/A</v>
      </c>
      <c r="N127" s="37" t="e">
        <f t="shared" si="50"/>
        <v>#N/A</v>
      </c>
      <c r="O127" s="6" t="e">
        <f>SUM(O125)/(24*O$8)</f>
        <v>#N/A</v>
      </c>
      <c r="P127" s="4" t="e">
        <f>O125/(COUNTIF(B125:N125,"&gt;0")*720)</f>
        <v>#N/A</v>
      </c>
    </row>
    <row r="128" spans="1:16" x14ac:dyDescent="0.25">
      <c r="A128" s="36" t="s">
        <v>9</v>
      </c>
      <c r="B128" s="380" t="e">
        <f>VLOOKUP($A$123,TABLA_1[],10,FALSE)</f>
        <v>#N/A</v>
      </c>
      <c r="C128" s="380" t="e">
        <f>VLOOKUP($A$123,TABLA_2[],10,FALSE)</f>
        <v>#N/A</v>
      </c>
      <c r="D128" s="380" t="e">
        <f>VLOOKUP($A$123,TABLA_3[],10,FALSE)</f>
        <v>#N/A</v>
      </c>
      <c r="E128" s="380" t="e">
        <f>VLOOKUP($A$123,TABLA_4[],10,FALSE)</f>
        <v>#N/A</v>
      </c>
      <c r="F128" s="380" t="e">
        <f>VLOOKUP($A$123,TABLA_5[],10,FALSE)</f>
        <v>#N/A</v>
      </c>
      <c r="G128" s="380" t="e">
        <f>VLOOKUP($A$123,TABLA_6[],10,FALSE)</f>
        <v>#N/A</v>
      </c>
      <c r="H128" s="380" t="e">
        <f>VLOOKUP($A$123,TABLA_7[],10,FALSE)</f>
        <v>#N/A</v>
      </c>
      <c r="I128" s="380" t="e">
        <f>VLOOKUP($A$123,TABLA_8[],10,FALSE)</f>
        <v>#N/A</v>
      </c>
      <c r="J128" s="380" t="e">
        <f>VLOOKUP($A$123,TABLA_9[],10,FALSE)</f>
        <v>#N/A</v>
      </c>
      <c r="K128" s="380" t="e">
        <f>VLOOKUP($A$123,TABLA_10[],10,FALSE)</f>
        <v>#N/A</v>
      </c>
      <c r="L128" s="380" t="e">
        <f>VLOOKUP($A$123,TABLA_11[],10,FALSE)</f>
        <v>#N/A</v>
      </c>
      <c r="M128" s="380" t="e">
        <f>VLOOKUP($A$123,TABLA_12[],10,FALSE)</f>
        <v>#N/A</v>
      </c>
      <c r="N128" s="380" t="e">
        <f>VLOOKUP($A$123,TABLA_13[],10,FALSE)</f>
        <v>#N/A</v>
      </c>
      <c r="O128" s="6"/>
      <c r="P128" s="4" t="e">
        <f>COS(ATAN(P126/P124))</f>
        <v>#N/A</v>
      </c>
    </row>
    <row r="129" spans="1:16" x14ac:dyDescent="0.25">
      <c r="A129" s="36" t="s">
        <v>17</v>
      </c>
      <c r="B129" s="37" t="e">
        <f t="shared" ref="B129:N129" si="51">+B127/B124</f>
        <v>#N/A</v>
      </c>
      <c r="C129" s="37" t="e">
        <f>+C127/C124</f>
        <v>#N/A</v>
      </c>
      <c r="D129" s="37" t="e">
        <f t="shared" si="51"/>
        <v>#N/A</v>
      </c>
      <c r="E129" s="37" t="e">
        <f t="shared" si="51"/>
        <v>#N/A</v>
      </c>
      <c r="F129" s="37" t="e">
        <f t="shared" si="51"/>
        <v>#N/A</v>
      </c>
      <c r="G129" s="37" t="e">
        <f t="shared" si="51"/>
        <v>#N/A</v>
      </c>
      <c r="H129" s="37" t="e">
        <f t="shared" si="51"/>
        <v>#N/A</v>
      </c>
      <c r="I129" s="37" t="e">
        <f t="shared" si="51"/>
        <v>#N/A</v>
      </c>
      <c r="J129" s="37" t="e">
        <f t="shared" si="51"/>
        <v>#N/A</v>
      </c>
      <c r="K129" s="37" t="e">
        <f t="shared" si="51"/>
        <v>#N/A</v>
      </c>
      <c r="L129" s="37" t="e">
        <f t="shared" si="51"/>
        <v>#N/A</v>
      </c>
      <c r="M129" s="37" t="e">
        <f t="shared" si="51"/>
        <v>#N/A</v>
      </c>
      <c r="N129" s="37" t="e">
        <f t="shared" si="51"/>
        <v>#N/A</v>
      </c>
      <c r="O129" s="6"/>
      <c r="P129" s="4" t="e">
        <f>+P127/P124</f>
        <v>#N/A</v>
      </c>
    </row>
    <row r="130" spans="1:16" s="24" customFormat="1" x14ac:dyDescent="0.25">
      <c r="A130" s="271" t="s">
        <v>324</v>
      </c>
      <c r="B130" s="65"/>
      <c r="C130" s="65"/>
      <c r="D130" s="65"/>
      <c r="E130" s="65"/>
      <c r="F130" s="65"/>
      <c r="G130" s="66"/>
      <c r="H130" s="66"/>
      <c r="I130" s="66"/>
      <c r="J130" s="66"/>
      <c r="K130" s="50"/>
      <c r="L130" s="50"/>
      <c r="M130" s="50"/>
      <c r="N130" s="50"/>
      <c r="O130" s="50"/>
      <c r="P130" s="50"/>
    </row>
    <row r="131" spans="1:16" x14ac:dyDescent="0.25">
      <c r="A131" s="36" t="s">
        <v>6</v>
      </c>
      <c r="B131" s="380" t="e">
        <f>VLOOKUP($A$130,TABLA_1[],5,FALSE)</f>
        <v>#N/A</v>
      </c>
      <c r="C131" s="380" t="e">
        <f>VLOOKUP($A$130,TABLA_2[],5,FALSE)</f>
        <v>#N/A</v>
      </c>
      <c r="D131" s="380" t="e">
        <f>VLOOKUP($A$130,TABLA_3[],5,FALSE)</f>
        <v>#N/A</v>
      </c>
      <c r="E131" s="380" t="e">
        <f>VLOOKUP($A$130,TABLA_4[],5,FALSE)</f>
        <v>#N/A</v>
      </c>
      <c r="F131" s="380" t="e">
        <f>VLOOKUP($A$130,TABLA_5[],5,FALSE)</f>
        <v>#N/A</v>
      </c>
      <c r="G131" s="380" t="e">
        <f>VLOOKUP($A$130,TABLA_6[],5,FALSE)</f>
        <v>#N/A</v>
      </c>
      <c r="H131" s="380" t="e">
        <f>VLOOKUP($A$130,TABLA_7[],5,FALSE)</f>
        <v>#N/A</v>
      </c>
      <c r="I131" s="380" t="e">
        <f>VLOOKUP($A$130,TABLA_8[],5,FALSE)</f>
        <v>#N/A</v>
      </c>
      <c r="J131" s="380" t="e">
        <f>VLOOKUP($A$130,TABLA_9[],5,FALSE)</f>
        <v>#N/A</v>
      </c>
      <c r="K131" s="380" t="e">
        <f>VLOOKUP($A$130,TABLA_10[],5,FALSE)</f>
        <v>#N/A</v>
      </c>
      <c r="L131" s="380" t="e">
        <f>VLOOKUP($A$130,TABLA_11[],5,FALSE)</f>
        <v>#N/A</v>
      </c>
      <c r="M131" s="380" t="e">
        <f>VLOOKUP($A$130,TABLA_12[],5,FALSE)</f>
        <v>#N/A</v>
      </c>
      <c r="N131" s="380" t="e">
        <f>VLOOKUP($A$130,TABLA_13[],5,FALSE)</f>
        <v>#N/A</v>
      </c>
      <c r="O131" s="6"/>
      <c r="P131" s="43" t="e">
        <f>MAX(B131:N131)</f>
        <v>#N/A</v>
      </c>
    </row>
    <row r="132" spans="1:16" x14ac:dyDescent="0.25">
      <c r="A132" s="36" t="s">
        <v>7</v>
      </c>
      <c r="B132" s="380" t="e">
        <f>VLOOKUP($A$130,TABLA_1[],8,FALSE)</f>
        <v>#N/A</v>
      </c>
      <c r="C132" s="380" t="e">
        <f>VLOOKUP($A$130,TABLA_2[],8,FALSE)</f>
        <v>#N/A</v>
      </c>
      <c r="D132" s="380" t="e">
        <f>VLOOKUP($A$130,TABLA_3[],8,FALSE)</f>
        <v>#N/A</v>
      </c>
      <c r="E132" s="380" t="e">
        <f>VLOOKUP($A$130,TABLA_4[],8,FALSE)</f>
        <v>#N/A</v>
      </c>
      <c r="F132" s="380" t="e">
        <f>VLOOKUP($A$130,TABLA_5[],8,FALSE)</f>
        <v>#N/A</v>
      </c>
      <c r="G132" s="380" t="e">
        <f>VLOOKUP($A$130,TABLA_6[],8,FALSE)</f>
        <v>#N/A</v>
      </c>
      <c r="H132" s="380" t="e">
        <f>VLOOKUP($A$130,TABLA_7[],8,FALSE)</f>
        <v>#N/A</v>
      </c>
      <c r="I132" s="380" t="e">
        <f>VLOOKUP($A$130,TABLA_8[],8,FALSE)</f>
        <v>#N/A</v>
      </c>
      <c r="J132" s="380" t="e">
        <f>VLOOKUP($A$130,TABLA_9[],8,FALSE)</f>
        <v>#N/A</v>
      </c>
      <c r="K132" s="380" t="e">
        <f>VLOOKUP($A$130,TABLA_10[],8,FALSE)</f>
        <v>#N/A</v>
      </c>
      <c r="L132" s="380" t="e">
        <f>VLOOKUP($A$130,TABLA_11[],8,FALSE)</f>
        <v>#N/A</v>
      </c>
      <c r="M132" s="380" t="e">
        <f>VLOOKUP($A$130,TABLA_12[],8,FALSE)</f>
        <v>#N/A</v>
      </c>
      <c r="N132" s="380" t="e">
        <f>VLOOKUP($A$130,TABLA_13[],8,FALSE)</f>
        <v>#N/A</v>
      </c>
      <c r="O132" s="47" t="e">
        <f>SUM(B132:N132)</f>
        <v>#N/A</v>
      </c>
      <c r="P132" s="43" t="e">
        <f>SUM(B132:N132)/(COUNTIF(B132:N132,"&gt;0"))</f>
        <v>#N/A</v>
      </c>
    </row>
    <row r="133" spans="1:16" x14ac:dyDescent="0.25">
      <c r="A133" s="36" t="s">
        <v>16</v>
      </c>
      <c r="B133" s="37" t="e">
        <f t="shared" ref="B133:N133" si="52">+((B131/B135)^2-(B131^2))^(0.5)</f>
        <v>#N/A</v>
      </c>
      <c r="C133" s="37" t="e">
        <f>+((C131/C135)^2-(C131^2))^(0.5)</f>
        <v>#N/A</v>
      </c>
      <c r="D133" s="37" t="e">
        <f t="shared" si="52"/>
        <v>#N/A</v>
      </c>
      <c r="E133" s="37" t="e">
        <f t="shared" si="52"/>
        <v>#N/A</v>
      </c>
      <c r="F133" s="37" t="e">
        <f t="shared" si="52"/>
        <v>#N/A</v>
      </c>
      <c r="G133" s="37" t="e">
        <f t="shared" si="52"/>
        <v>#N/A</v>
      </c>
      <c r="H133" s="37" t="e">
        <f t="shared" si="52"/>
        <v>#N/A</v>
      </c>
      <c r="I133" s="37" t="e">
        <f t="shared" si="52"/>
        <v>#N/A</v>
      </c>
      <c r="J133" s="37" t="e">
        <f t="shared" si="52"/>
        <v>#N/A</v>
      </c>
      <c r="K133" s="37" t="e">
        <f t="shared" si="52"/>
        <v>#N/A</v>
      </c>
      <c r="L133" s="37" t="e">
        <f t="shared" si="52"/>
        <v>#N/A</v>
      </c>
      <c r="M133" s="37" t="e">
        <f t="shared" si="52"/>
        <v>#N/A</v>
      </c>
      <c r="N133" s="37" t="e">
        <f t="shared" si="52"/>
        <v>#N/A</v>
      </c>
      <c r="O133" s="37"/>
      <c r="P133" s="4" t="e">
        <f>HLOOKUP(P131,B131:N133,3,FALSE)</f>
        <v>#N/A</v>
      </c>
    </row>
    <row r="134" spans="1:16" x14ac:dyDescent="0.25">
      <c r="A134" s="36" t="s">
        <v>8</v>
      </c>
      <c r="B134" s="37" t="e">
        <f t="shared" ref="B134:N134" si="53">+B132/(24*B$8)</f>
        <v>#N/A</v>
      </c>
      <c r="C134" s="37" t="e">
        <f>+C132/(24*C$8)</f>
        <v>#N/A</v>
      </c>
      <c r="D134" s="37" t="e">
        <f t="shared" si="53"/>
        <v>#N/A</v>
      </c>
      <c r="E134" s="37" t="e">
        <f t="shared" si="53"/>
        <v>#N/A</v>
      </c>
      <c r="F134" s="37" t="e">
        <f t="shared" si="53"/>
        <v>#N/A</v>
      </c>
      <c r="G134" s="37" t="e">
        <f t="shared" si="53"/>
        <v>#N/A</v>
      </c>
      <c r="H134" s="37" t="e">
        <f t="shared" si="53"/>
        <v>#N/A</v>
      </c>
      <c r="I134" s="37" t="e">
        <f t="shared" si="53"/>
        <v>#N/A</v>
      </c>
      <c r="J134" s="37" t="e">
        <f t="shared" si="53"/>
        <v>#N/A</v>
      </c>
      <c r="K134" s="37" t="e">
        <f t="shared" si="53"/>
        <v>#N/A</v>
      </c>
      <c r="L134" s="37" t="e">
        <f t="shared" si="53"/>
        <v>#N/A</v>
      </c>
      <c r="M134" s="37" t="e">
        <f t="shared" si="53"/>
        <v>#N/A</v>
      </c>
      <c r="N134" s="37" t="e">
        <f t="shared" si="53"/>
        <v>#N/A</v>
      </c>
      <c r="O134" s="6" t="e">
        <f>SUM(O132)/(24*O$8)</f>
        <v>#N/A</v>
      </c>
      <c r="P134" s="4" t="e">
        <f>O132/(COUNTIF(B132:N132,"&gt;0")*720)</f>
        <v>#N/A</v>
      </c>
    </row>
    <row r="135" spans="1:16" x14ac:dyDescent="0.25">
      <c r="A135" s="36" t="s">
        <v>9</v>
      </c>
      <c r="B135" s="380" t="e">
        <f>VLOOKUP($A$130,TABLA_1[],10,FALSE)</f>
        <v>#N/A</v>
      </c>
      <c r="C135" s="380" t="e">
        <f>VLOOKUP($A$130,TABLA_2[],10,FALSE)</f>
        <v>#N/A</v>
      </c>
      <c r="D135" s="380" t="e">
        <f>VLOOKUP($A$130,TABLA_3[],10,FALSE)</f>
        <v>#N/A</v>
      </c>
      <c r="E135" s="380" t="e">
        <f>VLOOKUP($A$130,TABLA_4[],10,FALSE)</f>
        <v>#N/A</v>
      </c>
      <c r="F135" s="380" t="e">
        <f>VLOOKUP($A$130,TABLA_5[],10,FALSE)</f>
        <v>#N/A</v>
      </c>
      <c r="G135" s="380" t="e">
        <f>VLOOKUP($A$130,TABLA_6[],10,FALSE)</f>
        <v>#N/A</v>
      </c>
      <c r="H135" s="380" t="e">
        <f>VLOOKUP($A$130,TABLA_7[],10,FALSE)</f>
        <v>#N/A</v>
      </c>
      <c r="I135" s="380" t="e">
        <f>VLOOKUP($A$130,TABLA_8[],10,FALSE)</f>
        <v>#N/A</v>
      </c>
      <c r="J135" s="380" t="e">
        <f>VLOOKUP($A$130,TABLA_9[],10,FALSE)</f>
        <v>#N/A</v>
      </c>
      <c r="K135" s="380" t="e">
        <f>VLOOKUP($A$130,TABLA_10[],10,FALSE)</f>
        <v>#N/A</v>
      </c>
      <c r="L135" s="380" t="e">
        <f>VLOOKUP($A$130,TABLA_11[],10,FALSE)</f>
        <v>#N/A</v>
      </c>
      <c r="M135" s="380" t="e">
        <f>VLOOKUP($A$130,TABLA_12[],10,FALSE)</f>
        <v>#N/A</v>
      </c>
      <c r="N135" s="380" t="e">
        <f>VLOOKUP($A$130,TABLA_13[],10,FALSE)</f>
        <v>#N/A</v>
      </c>
      <c r="O135" s="6"/>
      <c r="P135" s="4" t="e">
        <f>COS(ATAN(P133/P131))</f>
        <v>#N/A</v>
      </c>
    </row>
    <row r="136" spans="1:16" x14ac:dyDescent="0.25">
      <c r="A136" s="36" t="s">
        <v>17</v>
      </c>
      <c r="B136" s="37" t="e">
        <f t="shared" ref="B136:N136" si="54">+B134/B131</f>
        <v>#N/A</v>
      </c>
      <c r="C136" s="37" t="e">
        <f>+C134/C131</f>
        <v>#N/A</v>
      </c>
      <c r="D136" s="37" t="e">
        <f>+D134/D131</f>
        <v>#N/A</v>
      </c>
      <c r="E136" s="37" t="e">
        <f t="shared" si="54"/>
        <v>#N/A</v>
      </c>
      <c r="F136" s="37" t="e">
        <f t="shared" si="54"/>
        <v>#N/A</v>
      </c>
      <c r="G136" s="37" t="e">
        <f t="shared" si="54"/>
        <v>#N/A</v>
      </c>
      <c r="H136" s="37" t="e">
        <f>+H134/H131</f>
        <v>#N/A</v>
      </c>
      <c r="I136" s="37" t="e">
        <f t="shared" si="54"/>
        <v>#N/A</v>
      </c>
      <c r="J136" s="37" t="e">
        <f t="shared" si="54"/>
        <v>#N/A</v>
      </c>
      <c r="K136" s="37" t="e">
        <f t="shared" si="54"/>
        <v>#N/A</v>
      </c>
      <c r="L136" s="37" t="e">
        <f t="shared" si="54"/>
        <v>#N/A</v>
      </c>
      <c r="M136" s="37" t="e">
        <f t="shared" si="54"/>
        <v>#N/A</v>
      </c>
      <c r="N136" s="37" t="e">
        <f t="shared" si="54"/>
        <v>#N/A</v>
      </c>
      <c r="O136" s="6"/>
      <c r="P136" s="4" t="e">
        <f>+P134/P131</f>
        <v>#N/A</v>
      </c>
    </row>
    <row r="137" spans="1:16" s="24" customFormat="1" x14ac:dyDescent="0.25">
      <c r="A137" s="271" t="s">
        <v>325</v>
      </c>
      <c r="B137" s="65"/>
      <c r="C137" s="65"/>
      <c r="D137" s="65"/>
      <c r="E137" s="65"/>
      <c r="F137" s="65"/>
      <c r="G137" s="66"/>
      <c r="H137" s="66"/>
      <c r="I137" s="66"/>
      <c r="J137" s="66"/>
      <c r="K137" s="50"/>
      <c r="L137" s="50"/>
      <c r="M137" s="50"/>
      <c r="N137" s="50"/>
      <c r="O137" s="50"/>
      <c r="P137" s="50"/>
    </row>
    <row r="138" spans="1:16" x14ac:dyDescent="0.25">
      <c r="A138" s="36" t="s">
        <v>6</v>
      </c>
      <c r="B138" s="380">
        <f>VLOOKUP($A$137,TABLA_1[],5,FALSE)</f>
        <v>0</v>
      </c>
      <c r="C138" s="380">
        <f>VLOOKUP($A$137,TABLA_2[],5,FALSE)</f>
        <v>0</v>
      </c>
      <c r="D138" s="380">
        <f>VLOOKUP($A$137,TABLA_3[],5,FALSE)</f>
        <v>0</v>
      </c>
      <c r="E138" s="380">
        <f>VLOOKUP($A$137,TABLA_4[],5,FALSE)</f>
        <v>0</v>
      </c>
      <c r="F138" s="380">
        <f>VLOOKUP($A$137,TABLA_5[],5,FALSE)</f>
        <v>0</v>
      </c>
      <c r="G138" s="380">
        <f>VLOOKUP($A$137,TABLA_6[],5,FALSE)</f>
        <v>1450.493367</v>
      </c>
      <c r="H138" s="380">
        <f>VLOOKUP($A$137,TABLA_7[],5,FALSE)</f>
        <v>0</v>
      </c>
      <c r="I138" s="380">
        <f>VLOOKUP($A$137,TABLA_8[],5,FALSE)</f>
        <v>0</v>
      </c>
      <c r="J138" s="380">
        <f>VLOOKUP($A$137,TABLA_9[],5,FALSE)</f>
        <v>0</v>
      </c>
      <c r="K138" s="380">
        <f>VLOOKUP($A$137,TABLA_10[],5,FALSE)</f>
        <v>0</v>
      </c>
      <c r="L138" s="380">
        <f>VLOOKUP($A$137,TABLA_11[],5,FALSE)</f>
        <v>0</v>
      </c>
      <c r="M138" s="380">
        <f>VLOOKUP($A$137,TABLA_12[],5,FALSE)</f>
        <v>0</v>
      </c>
      <c r="N138" s="380">
        <f>VLOOKUP($A$137,TABLA_13[],5,FALSE)</f>
        <v>0</v>
      </c>
      <c r="O138" s="6"/>
      <c r="P138" s="43">
        <f>MAX(B138:N138)</f>
        <v>1450.493367</v>
      </c>
    </row>
    <row r="139" spans="1:16" x14ac:dyDescent="0.25">
      <c r="A139" s="36" t="s">
        <v>7</v>
      </c>
      <c r="B139" s="380">
        <f>VLOOKUP($A$137,TABLA_1[],8,FALSE)</f>
        <v>0</v>
      </c>
      <c r="C139" s="380">
        <f>VLOOKUP($A$137,TABLA_2[],8,FALSE)</f>
        <v>0</v>
      </c>
      <c r="D139" s="380">
        <f>VLOOKUP($A$137,TABLA_3[],8,FALSE)</f>
        <v>0</v>
      </c>
      <c r="E139" s="380">
        <f>VLOOKUP($A$137,TABLA_4[],8,FALSE)</f>
        <v>0</v>
      </c>
      <c r="F139" s="380">
        <f>VLOOKUP($A$137,TABLA_5[],8,FALSE)</f>
        <v>0</v>
      </c>
      <c r="G139" s="380">
        <f>VLOOKUP($A$137,TABLA_6[],8,FALSE)</f>
        <v>492746.47910200001</v>
      </c>
      <c r="H139" s="380">
        <f>VLOOKUP($A$137,TABLA_7[],8,FALSE)</f>
        <v>0</v>
      </c>
      <c r="I139" s="380">
        <f>VLOOKUP($A$137,TABLA_8[],8,FALSE)</f>
        <v>0</v>
      </c>
      <c r="J139" s="380">
        <f>VLOOKUP($A$137,TABLA_9[],8,FALSE)</f>
        <v>0</v>
      </c>
      <c r="K139" s="380">
        <f>VLOOKUP($A$137,TABLA_10[],8,FALSE)</f>
        <v>0</v>
      </c>
      <c r="L139" s="380">
        <f>VLOOKUP($A$137,TABLA_11[],8,FALSE)</f>
        <v>0</v>
      </c>
      <c r="M139" s="380">
        <f>VLOOKUP($A$137,TABLA_12[],8,FALSE)</f>
        <v>0</v>
      </c>
      <c r="N139" s="380">
        <f>VLOOKUP($A$137,TABLA_13[],8,FALSE)</f>
        <v>0</v>
      </c>
      <c r="O139" s="47">
        <f>SUM(B139:N139)</f>
        <v>492746.47910200001</v>
      </c>
      <c r="P139" s="43">
        <f>SUM(B139:N139)/(COUNTIF(B139:N139,"&gt;0"))</f>
        <v>492746.47910200001</v>
      </c>
    </row>
    <row r="140" spans="1:16" x14ac:dyDescent="0.25">
      <c r="A140" s="36" t="s">
        <v>16</v>
      </c>
      <c r="B140" s="37" t="e">
        <f t="shared" ref="B140:N140" si="55">+((B138/B142)^2-(B138^2))^(0.5)</f>
        <v>#DIV/0!</v>
      </c>
      <c r="C140" s="37" t="e">
        <f>+((C138/C142)^2-(C138^2))^(0.5)</f>
        <v>#DIV/0!</v>
      </c>
      <c r="D140" s="37" t="e">
        <f t="shared" si="55"/>
        <v>#DIV/0!</v>
      </c>
      <c r="E140" s="37" t="e">
        <f t="shared" si="55"/>
        <v>#DIV/0!</v>
      </c>
      <c r="F140" s="37" t="e">
        <f t="shared" si="55"/>
        <v>#DIV/0!</v>
      </c>
      <c r="G140" s="37">
        <f t="shared" si="55"/>
        <v>706.59270545916377</v>
      </c>
      <c r="H140" s="37" t="e">
        <f t="shared" si="55"/>
        <v>#DIV/0!</v>
      </c>
      <c r="I140" s="37" t="e">
        <f t="shared" si="55"/>
        <v>#DIV/0!</v>
      </c>
      <c r="J140" s="37" t="e">
        <f t="shared" si="55"/>
        <v>#DIV/0!</v>
      </c>
      <c r="K140" s="37" t="e">
        <f t="shared" si="55"/>
        <v>#DIV/0!</v>
      </c>
      <c r="L140" s="37" t="e">
        <f t="shared" si="55"/>
        <v>#DIV/0!</v>
      </c>
      <c r="M140" s="37" t="e">
        <f t="shared" si="55"/>
        <v>#DIV/0!</v>
      </c>
      <c r="N140" s="37" t="e">
        <f t="shared" si="55"/>
        <v>#DIV/0!</v>
      </c>
      <c r="O140" s="37"/>
      <c r="P140" s="4">
        <f>HLOOKUP(P138,B138:N140,3,FALSE)</f>
        <v>706.59270545916377</v>
      </c>
    </row>
    <row r="141" spans="1:16" x14ac:dyDescent="0.25">
      <c r="A141" s="36" t="s">
        <v>8</v>
      </c>
      <c r="B141" s="37">
        <f>+B139/(24*B$8)</f>
        <v>0</v>
      </c>
      <c r="C141" s="37">
        <f>+C139/(24*C$8)</f>
        <v>0</v>
      </c>
      <c r="D141" s="37">
        <f t="shared" ref="D141:N141" si="56">+D139/(24*D$8)</f>
        <v>0</v>
      </c>
      <c r="E141" s="37">
        <f t="shared" si="56"/>
        <v>0</v>
      </c>
      <c r="F141" s="37">
        <f t="shared" si="56"/>
        <v>0</v>
      </c>
      <c r="G141" s="37">
        <f t="shared" si="56"/>
        <v>662.29365470698929</v>
      </c>
      <c r="H141" s="37">
        <f t="shared" si="56"/>
        <v>0</v>
      </c>
      <c r="I141" s="37">
        <f t="shared" si="56"/>
        <v>0</v>
      </c>
      <c r="J141" s="37">
        <f t="shared" si="56"/>
        <v>0</v>
      </c>
      <c r="K141" s="37">
        <f t="shared" si="56"/>
        <v>0</v>
      </c>
      <c r="L141" s="37">
        <f t="shared" si="56"/>
        <v>0</v>
      </c>
      <c r="M141" s="37">
        <f t="shared" si="56"/>
        <v>0</v>
      </c>
      <c r="N141" s="37">
        <f t="shared" si="56"/>
        <v>0</v>
      </c>
      <c r="O141" s="6">
        <f>SUM(O139)/(24*O$8)</f>
        <v>56.24959807100457</v>
      </c>
      <c r="P141" s="4">
        <f>O139/(COUNTIF(B139:N139,"&gt;0")*720)</f>
        <v>684.37010986388896</v>
      </c>
    </row>
    <row r="142" spans="1:16" x14ac:dyDescent="0.25">
      <c r="A142" s="36" t="s">
        <v>9</v>
      </c>
      <c r="B142" s="380">
        <f>VLOOKUP($A$137,TABLA_1[],10,FALSE)</f>
        <v>0</v>
      </c>
      <c r="C142" s="380">
        <f>VLOOKUP($A$137,TABLA_2[],10,FALSE)</f>
        <v>0</v>
      </c>
      <c r="D142" s="380">
        <f>VLOOKUP($A$137,TABLA_3[],10,FALSE)</f>
        <v>0</v>
      </c>
      <c r="E142" s="380">
        <f>VLOOKUP($A$137,TABLA_4[],10,FALSE)</f>
        <v>0</v>
      </c>
      <c r="F142" s="380">
        <f>VLOOKUP($A$137,TABLA_5[],10,FALSE)</f>
        <v>0</v>
      </c>
      <c r="G142" s="380">
        <f>VLOOKUP($A$137,TABLA_6[],10,FALSE)</f>
        <v>0.89900400000000003</v>
      </c>
      <c r="H142" s="380">
        <f>VLOOKUP($A$137,TABLA_7[],10,FALSE)</f>
        <v>0</v>
      </c>
      <c r="I142" s="380">
        <f>VLOOKUP($A$137,TABLA_8[],10,FALSE)</f>
        <v>0</v>
      </c>
      <c r="J142" s="380">
        <f>VLOOKUP($A$137,TABLA_9[],10,FALSE)</f>
        <v>0</v>
      </c>
      <c r="K142" s="380">
        <f>VLOOKUP($A$137,TABLA_10[],10,FALSE)</f>
        <v>0</v>
      </c>
      <c r="L142" s="380">
        <f>VLOOKUP($A$137,TABLA_11[],10,FALSE)</f>
        <v>0</v>
      </c>
      <c r="M142" s="380">
        <f>VLOOKUP($A$137,TABLA_12[],10,FALSE)</f>
        <v>0</v>
      </c>
      <c r="N142" s="380">
        <f>VLOOKUP($A$137,TABLA_13[],10,FALSE)</f>
        <v>0</v>
      </c>
      <c r="O142" s="6"/>
      <c r="P142" s="4">
        <f>COS(ATAN(P140/P138))</f>
        <v>0.89900400000000003</v>
      </c>
    </row>
    <row r="143" spans="1:16" x14ac:dyDescent="0.25">
      <c r="A143" s="36" t="s">
        <v>17</v>
      </c>
      <c r="B143" s="37" t="e">
        <f t="shared" ref="B143:N143" si="57">+B141/B138</f>
        <v>#DIV/0!</v>
      </c>
      <c r="C143" s="37" t="e">
        <f>+C141/C138</f>
        <v>#DIV/0!</v>
      </c>
      <c r="D143" s="37" t="e">
        <f t="shared" si="57"/>
        <v>#DIV/0!</v>
      </c>
      <c r="E143" s="37" t="e">
        <f t="shared" si="57"/>
        <v>#DIV/0!</v>
      </c>
      <c r="F143" s="37" t="e">
        <f t="shared" si="57"/>
        <v>#DIV/0!</v>
      </c>
      <c r="G143" s="37">
        <f t="shared" si="57"/>
        <v>0.45659888543770866</v>
      </c>
      <c r="H143" s="37" t="e">
        <f t="shared" si="57"/>
        <v>#DIV/0!</v>
      </c>
      <c r="I143" s="37" t="e">
        <f t="shared" si="57"/>
        <v>#DIV/0!</v>
      </c>
      <c r="J143" s="37" t="e">
        <f t="shared" si="57"/>
        <v>#DIV/0!</v>
      </c>
      <c r="K143" s="37" t="e">
        <f t="shared" si="57"/>
        <v>#DIV/0!</v>
      </c>
      <c r="L143" s="37" t="e">
        <f t="shared" si="57"/>
        <v>#DIV/0!</v>
      </c>
      <c r="M143" s="37" t="e">
        <f t="shared" si="57"/>
        <v>#DIV/0!</v>
      </c>
      <c r="N143" s="37" t="e">
        <f t="shared" si="57"/>
        <v>#DIV/0!</v>
      </c>
      <c r="O143" s="6"/>
      <c r="P143" s="4">
        <f>+P141/P138</f>
        <v>0.47181884828563225</v>
      </c>
    </row>
    <row r="144" spans="1:16" x14ac:dyDescent="0.25">
      <c r="A144" s="64"/>
      <c r="B144" s="91"/>
      <c r="C144" s="91"/>
      <c r="D144" s="91"/>
      <c r="E144" s="91"/>
      <c r="F144" s="91"/>
      <c r="G144" s="64"/>
      <c r="H144" s="64"/>
      <c r="I144" s="64"/>
      <c r="J144" s="64"/>
      <c r="K144" s="64"/>
      <c r="L144" s="64"/>
      <c r="M144" s="64"/>
      <c r="N144" s="64"/>
      <c r="O144" s="64"/>
      <c r="P144" s="48"/>
    </row>
    <row r="145" spans="1:18" x14ac:dyDescent="0.25">
      <c r="A145" s="64"/>
      <c r="B145" s="91"/>
      <c r="C145" s="91"/>
      <c r="D145" s="91"/>
      <c r="E145" s="91"/>
      <c r="F145" s="91"/>
      <c r="G145" s="64"/>
      <c r="H145" s="64"/>
      <c r="I145" s="64"/>
      <c r="J145" s="64"/>
      <c r="K145" s="64"/>
      <c r="L145" s="64"/>
      <c r="M145" s="64"/>
      <c r="N145" s="64"/>
      <c r="O145" s="64"/>
      <c r="P145" s="48"/>
    </row>
    <row r="146" spans="1:18" x14ac:dyDescent="0.25">
      <c r="A146" s="73" t="s">
        <v>10</v>
      </c>
      <c r="B146" s="72"/>
      <c r="C146" s="72"/>
      <c r="D146" s="72"/>
      <c r="E146" s="72"/>
      <c r="F146" s="72"/>
      <c r="G146" s="73"/>
      <c r="H146" s="73"/>
      <c r="I146" s="73"/>
      <c r="J146" s="73"/>
      <c r="K146" s="73"/>
      <c r="L146" s="53"/>
      <c r="M146" s="53"/>
      <c r="N146" s="53"/>
      <c r="O146" s="53"/>
      <c r="P146" s="8"/>
    </row>
    <row r="147" spans="1:18" x14ac:dyDescent="0.25">
      <c r="A147" s="54" t="s">
        <v>11</v>
      </c>
      <c r="B147" s="62" t="e">
        <f>B117+B124+B131+B138</f>
        <v>#N/A</v>
      </c>
      <c r="C147" s="62" t="e">
        <f>C117+C124+C131+C138</f>
        <v>#N/A</v>
      </c>
      <c r="D147" s="62" t="e">
        <f t="shared" ref="D147:M148" si="58">D117+D124+D131+D138</f>
        <v>#N/A</v>
      </c>
      <c r="E147" s="62" t="e">
        <f t="shared" si="58"/>
        <v>#N/A</v>
      </c>
      <c r="F147" s="62" t="e">
        <f>F117+F124+F131+F138</f>
        <v>#N/A</v>
      </c>
      <c r="G147" s="62" t="e">
        <f t="shared" si="58"/>
        <v>#N/A</v>
      </c>
      <c r="H147" s="62" t="e">
        <f t="shared" si="58"/>
        <v>#N/A</v>
      </c>
      <c r="I147" s="62" t="e">
        <f t="shared" si="58"/>
        <v>#N/A</v>
      </c>
      <c r="J147" s="62" t="e">
        <f t="shared" si="58"/>
        <v>#N/A</v>
      </c>
      <c r="K147" s="62" t="e">
        <f t="shared" si="58"/>
        <v>#N/A</v>
      </c>
      <c r="L147" s="62" t="e">
        <f t="shared" si="58"/>
        <v>#N/A</v>
      </c>
      <c r="M147" s="62" t="e">
        <f t="shared" si="58"/>
        <v>#N/A</v>
      </c>
      <c r="N147" s="62" t="e">
        <f>N117+N124+N131+N138</f>
        <v>#N/A</v>
      </c>
      <c r="O147" s="62"/>
      <c r="P147" s="42" t="e">
        <f>MAX(B147:N147)</f>
        <v>#N/A</v>
      </c>
    </row>
    <row r="148" spans="1:18" x14ac:dyDescent="0.25">
      <c r="A148" s="54" t="s">
        <v>7</v>
      </c>
      <c r="B148" s="62" t="e">
        <f>B118+B125+B132+B139</f>
        <v>#N/A</v>
      </c>
      <c r="C148" s="62" t="e">
        <f>C118+C125+C132+C139</f>
        <v>#N/A</v>
      </c>
      <c r="D148" s="62" t="e">
        <f t="shared" si="58"/>
        <v>#N/A</v>
      </c>
      <c r="E148" s="62" t="e">
        <f t="shared" si="58"/>
        <v>#N/A</v>
      </c>
      <c r="F148" s="62" t="e">
        <f t="shared" si="58"/>
        <v>#N/A</v>
      </c>
      <c r="G148" s="62" t="e">
        <f>G118+G125+G132+G139</f>
        <v>#N/A</v>
      </c>
      <c r="H148" s="62" t="e">
        <f t="shared" si="58"/>
        <v>#N/A</v>
      </c>
      <c r="I148" s="62" t="e">
        <f t="shared" si="58"/>
        <v>#N/A</v>
      </c>
      <c r="J148" s="62" t="e">
        <f>J118+J125+J132+J139</f>
        <v>#N/A</v>
      </c>
      <c r="K148" s="62" t="e">
        <f t="shared" si="58"/>
        <v>#N/A</v>
      </c>
      <c r="L148" s="62" t="e">
        <f t="shared" si="58"/>
        <v>#N/A</v>
      </c>
      <c r="M148" s="62" t="e">
        <f t="shared" si="58"/>
        <v>#N/A</v>
      </c>
      <c r="N148" s="62" t="e">
        <f>N118+N125+N132+N139</f>
        <v>#N/A</v>
      </c>
      <c r="O148" s="62" t="e">
        <f>SUM(B148:N148)</f>
        <v>#N/A</v>
      </c>
      <c r="P148" s="42"/>
    </row>
    <row r="149" spans="1:18" s="24" customFormat="1" x14ac:dyDescent="0.25">
      <c r="A149" s="272" t="s">
        <v>30</v>
      </c>
      <c r="B149" s="376" t="s">
        <v>489</v>
      </c>
      <c r="C149" s="246"/>
      <c r="D149" s="246"/>
      <c r="E149" s="246"/>
      <c r="F149" s="246"/>
      <c r="G149" s="247"/>
      <c r="H149" s="247"/>
      <c r="I149" s="247"/>
      <c r="J149" s="247"/>
      <c r="K149" s="36"/>
      <c r="L149" s="36"/>
      <c r="M149" s="36"/>
      <c r="N149" s="36"/>
      <c r="O149" s="36"/>
      <c r="P149" s="36"/>
    </row>
    <row r="150" spans="1:18" x14ac:dyDescent="0.25">
      <c r="A150" s="36" t="s">
        <v>6</v>
      </c>
      <c r="B150" s="380">
        <f>VLOOKUP($B$149,BancoTabla_1[],5,FALSE)</f>
        <v>0</v>
      </c>
      <c r="C150" s="380">
        <f>VLOOKUP($B$149,BancoTabla_2[],5,FALSE)</f>
        <v>0</v>
      </c>
      <c r="D150" s="380">
        <f>VLOOKUP($B$149,BancoTabla_3[],5,FALSE)</f>
        <v>0</v>
      </c>
      <c r="E150" s="380">
        <f>VLOOKUP($B$149,BancoTabla_4[],5,FALSE)</f>
        <v>0</v>
      </c>
      <c r="F150" s="380">
        <f>VLOOKUP($B$149,BancoTabla_5[],5,FALSE)</f>
        <v>0</v>
      </c>
      <c r="G150" s="380">
        <f>VLOOKUP($B$149,BancoTabla_6[],5,FALSE)</f>
        <v>5016.8600260000003</v>
      </c>
      <c r="H150" s="380">
        <f>VLOOKUP($B$149,BancoTabla_7[],5,FALSE)</f>
        <v>0</v>
      </c>
      <c r="I150" s="380">
        <f>VLOOKUP($B$149,BancoTabla_8[],5,FALSE)</f>
        <v>0</v>
      </c>
      <c r="J150" s="380">
        <f>VLOOKUP($B$149,BancoTabla_9[],5,FALSE)</f>
        <v>0</v>
      </c>
      <c r="K150" s="380">
        <f>VLOOKUP($B$149,BancoTabla_10[],5,FALSE)</f>
        <v>0</v>
      </c>
      <c r="L150" s="380">
        <f>VLOOKUP($B$149,BancoTabla_11[],5,FALSE)</f>
        <v>0</v>
      </c>
      <c r="M150" s="380">
        <f>VLOOKUP($B$149,BancoTabla_12[],5,FALSE)</f>
        <v>0</v>
      </c>
      <c r="N150" s="380">
        <f>VLOOKUP($B$149,BancoTabla_13[],5,FALSE)</f>
        <v>0</v>
      </c>
      <c r="O150" s="79"/>
      <c r="P150" s="43">
        <f>MAX(B150:N150)</f>
        <v>5016.8600260000003</v>
      </c>
      <c r="Q150" s="334">
        <f>P150/1000</f>
        <v>5.0168600260000007</v>
      </c>
    </row>
    <row r="151" spans="1:18" x14ac:dyDescent="0.25">
      <c r="A151" s="36" t="s">
        <v>7</v>
      </c>
      <c r="B151" s="380">
        <f>VLOOKUP($B$149,BancoTabla_1[],8,FALSE)</f>
        <v>0</v>
      </c>
      <c r="C151" s="380">
        <f>VLOOKUP($B$149,BancoTabla_2[],8,FALSE)</f>
        <v>0</v>
      </c>
      <c r="D151" s="380">
        <f>VLOOKUP($B$149,BancoTabla_3[],8,FALSE)</f>
        <v>0</v>
      </c>
      <c r="E151" s="380">
        <f>VLOOKUP($B$149,BancoTabla_4[],8,FALSE)</f>
        <v>0</v>
      </c>
      <c r="F151" s="380">
        <f>VLOOKUP($B$149,BancoTabla_5[],8,FALSE)</f>
        <v>0</v>
      </c>
      <c r="G151" s="380">
        <f>VLOOKUP($B$149,BancoTabla_6[],8,FALSE)</f>
        <v>2536540.5900690001</v>
      </c>
      <c r="H151" s="380">
        <f>VLOOKUP($B$149,BancoTabla_7[],8,FALSE)</f>
        <v>0</v>
      </c>
      <c r="I151" s="380">
        <f>VLOOKUP($B$149,BancoTabla_8[],8,FALSE)</f>
        <v>0</v>
      </c>
      <c r="J151" s="380">
        <f>VLOOKUP($B$149,BancoTabla_9[],8,FALSE)</f>
        <v>0</v>
      </c>
      <c r="K151" s="380">
        <f>VLOOKUP($B$149,BancoTabla_10[],8,FALSE)</f>
        <v>0</v>
      </c>
      <c r="L151" s="380">
        <f>VLOOKUP($B$149,BancoTabla_11[],8,FALSE)</f>
        <v>0</v>
      </c>
      <c r="M151" s="380">
        <f>VLOOKUP($B$149,BancoTabla_12[],8,FALSE)</f>
        <v>0</v>
      </c>
      <c r="N151" s="380">
        <f>VLOOKUP($B$149,BancoTabla_13[],8,FALSE)</f>
        <v>0</v>
      </c>
      <c r="O151" s="47">
        <f>SUM(B151:N151)</f>
        <v>2536540.5900690001</v>
      </c>
      <c r="P151" s="4">
        <f>SUM(B151:N151)/(COUNTIF(B151:N151,"&gt;0"))</f>
        <v>2536540.5900690001</v>
      </c>
      <c r="R151" s="39"/>
    </row>
    <row r="152" spans="1:18" x14ac:dyDescent="0.25">
      <c r="A152" s="36" t="s">
        <v>16</v>
      </c>
      <c r="B152" s="37" t="e">
        <f t="shared" ref="B152:N152" si="59">+((B150/B154)^2-(B150^2))^(0.5)</f>
        <v>#DIV/0!</v>
      </c>
      <c r="C152" s="37" t="e">
        <f>+((C150/C154)^2-(C150^2))^(0.5)</f>
        <v>#DIV/0!</v>
      </c>
      <c r="D152" s="37" t="e">
        <f t="shared" si="59"/>
        <v>#DIV/0!</v>
      </c>
      <c r="E152" s="37" t="e">
        <f t="shared" si="59"/>
        <v>#DIV/0!</v>
      </c>
      <c r="F152" s="37" t="e">
        <f t="shared" si="59"/>
        <v>#DIV/0!</v>
      </c>
      <c r="G152" s="37">
        <f t="shared" si="59"/>
        <v>1035.1639820743912</v>
      </c>
      <c r="H152" s="37" t="e">
        <f t="shared" si="59"/>
        <v>#DIV/0!</v>
      </c>
      <c r="I152" s="37" t="e">
        <f t="shared" si="59"/>
        <v>#DIV/0!</v>
      </c>
      <c r="J152" s="37" t="e">
        <f t="shared" si="59"/>
        <v>#DIV/0!</v>
      </c>
      <c r="K152" s="37" t="e">
        <f t="shared" si="59"/>
        <v>#DIV/0!</v>
      </c>
      <c r="L152" s="37" t="e">
        <f t="shared" si="59"/>
        <v>#DIV/0!</v>
      </c>
      <c r="M152" s="37" t="e">
        <f t="shared" si="59"/>
        <v>#DIV/0!</v>
      </c>
      <c r="N152" s="37" t="e">
        <f t="shared" si="59"/>
        <v>#DIV/0!</v>
      </c>
      <c r="O152" s="37"/>
      <c r="P152" s="4">
        <f>HLOOKUP(P150,B150:N152,3,FALSE)</f>
        <v>1035.1639820743912</v>
      </c>
    </row>
    <row r="153" spans="1:18" x14ac:dyDescent="0.25">
      <c r="A153" s="36" t="s">
        <v>8</v>
      </c>
      <c r="B153" s="37">
        <f t="shared" ref="B153:N153" si="60">+B151/(24*B$8)</f>
        <v>0</v>
      </c>
      <c r="C153" s="37">
        <f>+C151/(24*C$8)</f>
        <v>0</v>
      </c>
      <c r="D153" s="37">
        <f t="shared" si="60"/>
        <v>0</v>
      </c>
      <c r="E153" s="37">
        <f t="shared" si="60"/>
        <v>0</v>
      </c>
      <c r="F153" s="37">
        <f t="shared" si="60"/>
        <v>0</v>
      </c>
      <c r="G153" s="37">
        <f t="shared" si="60"/>
        <v>3409.3287500927422</v>
      </c>
      <c r="H153" s="37">
        <f t="shared" si="60"/>
        <v>0</v>
      </c>
      <c r="I153" s="37">
        <f t="shared" si="60"/>
        <v>0</v>
      </c>
      <c r="J153" s="37">
        <f t="shared" si="60"/>
        <v>0</v>
      </c>
      <c r="K153" s="37">
        <f t="shared" si="60"/>
        <v>0</v>
      </c>
      <c r="L153" s="37">
        <f t="shared" si="60"/>
        <v>0</v>
      </c>
      <c r="M153" s="37">
        <f t="shared" si="60"/>
        <v>0</v>
      </c>
      <c r="N153" s="37">
        <f t="shared" si="60"/>
        <v>0</v>
      </c>
      <c r="O153" s="6">
        <f>SUM(O151)/(24*O$8)</f>
        <v>289.55942809006854</v>
      </c>
      <c r="P153" s="4">
        <f>O151/(COUNTIF(B151:N151,"&gt;0")*720)</f>
        <v>3522.9730417625001</v>
      </c>
    </row>
    <row r="154" spans="1:18" x14ac:dyDescent="0.25">
      <c r="A154" s="36" t="s">
        <v>9</v>
      </c>
      <c r="B154" s="380">
        <f>VLOOKUP($B$149,BancoTabla_1[],10,FALSE)</f>
        <v>0</v>
      </c>
      <c r="C154" s="380">
        <f>VLOOKUP($B$149,BancoTabla_2[],10,FALSE)</f>
        <v>0</v>
      </c>
      <c r="D154" s="380">
        <f>VLOOKUP($B$149,BancoTabla_3[],10,FALSE)</f>
        <v>0</v>
      </c>
      <c r="E154" s="380">
        <f>VLOOKUP($B$149,BancoTabla_4[],10,FALSE)</f>
        <v>0</v>
      </c>
      <c r="F154" s="380">
        <f>VLOOKUP($B$149,BancoTabla_5[],10,FALSE)</f>
        <v>0</v>
      </c>
      <c r="G154" s="380">
        <f>VLOOKUP($B$149,BancoTabla_6[],10,FALSE)</f>
        <v>0.97936900000000005</v>
      </c>
      <c r="H154" s="380">
        <f>VLOOKUP($B$149,BancoTabla_7[],10,FALSE)</f>
        <v>0</v>
      </c>
      <c r="I154" s="380">
        <f>VLOOKUP($B$149,BancoTabla_8[],10,FALSE)</f>
        <v>0</v>
      </c>
      <c r="J154" s="380">
        <f>VLOOKUP($B$149,BancoTabla_9[],10,FALSE)</f>
        <v>0</v>
      </c>
      <c r="K154" s="380">
        <f>VLOOKUP($B$149,BancoTabla_10[],10,FALSE)</f>
        <v>0</v>
      </c>
      <c r="L154" s="380">
        <f>VLOOKUP($B$149,BancoTabla_11[],10,FALSE)</f>
        <v>0</v>
      </c>
      <c r="M154" s="380">
        <f>VLOOKUP($B$149,BancoTabla_12[],10,FALSE)</f>
        <v>0</v>
      </c>
      <c r="N154" s="380">
        <f>VLOOKUP($B$149,BancoTabla_13[],10,FALSE)</f>
        <v>0</v>
      </c>
      <c r="O154" s="6"/>
      <c r="P154" s="4">
        <f>COS(ATAN(P152/P150))</f>
        <v>0.97936900000000005</v>
      </c>
    </row>
    <row r="155" spans="1:18" x14ac:dyDescent="0.25">
      <c r="A155" s="36" t="s">
        <v>17</v>
      </c>
      <c r="B155" s="37" t="e">
        <f t="shared" ref="B155:I155" si="61">+B153/B150</f>
        <v>#DIV/0!</v>
      </c>
      <c r="C155" s="37" t="e">
        <f>+C153/C150</f>
        <v>#DIV/0!</v>
      </c>
      <c r="D155" s="37" t="e">
        <f t="shared" si="61"/>
        <v>#DIV/0!</v>
      </c>
      <c r="E155" s="37" t="e">
        <f t="shared" si="61"/>
        <v>#DIV/0!</v>
      </c>
      <c r="F155" s="37" t="e">
        <f t="shared" si="61"/>
        <v>#DIV/0!</v>
      </c>
      <c r="G155" s="37">
        <f t="shared" si="61"/>
        <v>0.67957422220747887</v>
      </c>
      <c r="H155" s="37" t="e">
        <f t="shared" si="61"/>
        <v>#DIV/0!</v>
      </c>
      <c r="I155" s="37" t="e">
        <f t="shared" si="61"/>
        <v>#DIV/0!</v>
      </c>
      <c r="J155" s="37" t="e">
        <f>+J153/J150</f>
        <v>#DIV/0!</v>
      </c>
      <c r="K155" s="37" t="e">
        <f>+K153/K150</f>
        <v>#DIV/0!</v>
      </c>
      <c r="L155" s="37" t="e">
        <f>+L153/L150</f>
        <v>#DIV/0!</v>
      </c>
      <c r="M155" s="37" t="e">
        <f>+M153/M150</f>
        <v>#DIV/0!</v>
      </c>
      <c r="N155" s="37" t="e">
        <f>+N153/N150</f>
        <v>#DIV/0!</v>
      </c>
      <c r="O155" s="6"/>
      <c r="P155" s="4">
        <f>+P153/P150</f>
        <v>0.70222669628106138</v>
      </c>
    </row>
    <row r="156" spans="1:18" x14ac:dyDescent="0.25">
      <c r="A156" s="36" t="s">
        <v>18</v>
      </c>
      <c r="B156" s="37" t="e">
        <f t="shared" ref="B156:N156" si="62">+B147/B150</f>
        <v>#N/A</v>
      </c>
      <c r="C156" s="37" t="e">
        <f>+C147/C150</f>
        <v>#N/A</v>
      </c>
      <c r="D156" s="37" t="e">
        <f t="shared" si="62"/>
        <v>#N/A</v>
      </c>
      <c r="E156" s="328" t="e">
        <f t="shared" si="62"/>
        <v>#N/A</v>
      </c>
      <c r="F156" s="37" t="e">
        <f t="shared" si="62"/>
        <v>#N/A</v>
      </c>
      <c r="G156" s="37" t="e">
        <f t="shared" si="62"/>
        <v>#N/A</v>
      </c>
      <c r="H156" s="37" t="e">
        <f t="shared" si="62"/>
        <v>#N/A</v>
      </c>
      <c r="I156" s="37" t="e">
        <f t="shared" si="62"/>
        <v>#N/A</v>
      </c>
      <c r="J156" s="37" t="e">
        <f t="shared" si="62"/>
        <v>#N/A</v>
      </c>
      <c r="K156" s="37" t="e">
        <f t="shared" si="62"/>
        <v>#N/A</v>
      </c>
      <c r="L156" s="37" t="e">
        <f t="shared" si="62"/>
        <v>#N/A</v>
      </c>
      <c r="M156" s="37" t="e">
        <f t="shared" si="62"/>
        <v>#N/A</v>
      </c>
      <c r="N156" s="37" t="e">
        <f t="shared" si="62"/>
        <v>#N/A</v>
      </c>
      <c r="O156" s="6"/>
      <c r="P156" s="4" t="e">
        <f>+P147/P150</f>
        <v>#N/A</v>
      </c>
    </row>
    <row r="157" spans="1:18" x14ac:dyDescent="0.25">
      <c r="A157" s="36" t="s">
        <v>19</v>
      </c>
      <c r="B157" s="37">
        <f t="shared" ref="B157:N157" si="63">+B150/$B$158</f>
        <v>0</v>
      </c>
      <c r="C157" s="37">
        <f>+C150/$B$158</f>
        <v>0</v>
      </c>
      <c r="D157" s="37">
        <f t="shared" si="63"/>
        <v>0</v>
      </c>
      <c r="E157" s="37">
        <f t="shared" si="63"/>
        <v>0</v>
      </c>
      <c r="F157" s="37">
        <f t="shared" si="63"/>
        <v>0</v>
      </c>
      <c r="G157" s="37">
        <f t="shared" si="63"/>
        <v>0.25612716075350556</v>
      </c>
      <c r="H157" s="37">
        <f t="shared" si="63"/>
        <v>0</v>
      </c>
      <c r="I157" s="37">
        <f t="shared" si="63"/>
        <v>0</v>
      </c>
      <c r="J157" s="37">
        <f t="shared" si="63"/>
        <v>0</v>
      </c>
      <c r="K157" s="37">
        <f t="shared" si="63"/>
        <v>0</v>
      </c>
      <c r="L157" s="37">
        <f t="shared" si="63"/>
        <v>0</v>
      </c>
      <c r="M157" s="37">
        <f t="shared" si="63"/>
        <v>0</v>
      </c>
      <c r="N157" s="37">
        <f t="shared" si="63"/>
        <v>0</v>
      </c>
      <c r="O157" s="6"/>
      <c r="P157" s="4">
        <f>+P150/B158</f>
        <v>0.25612716075350556</v>
      </c>
    </row>
    <row r="158" spans="1:18" x14ac:dyDescent="0.25">
      <c r="A158" s="36" t="s">
        <v>20</v>
      </c>
      <c r="B158" s="37">
        <f>20*P154*1000</f>
        <v>19587.38</v>
      </c>
      <c r="C158" s="37"/>
      <c r="D158" s="37"/>
      <c r="E158" s="37"/>
      <c r="F158" s="37"/>
      <c r="G158" s="37"/>
      <c r="H158" s="37"/>
      <c r="I158" s="37"/>
      <c r="J158" s="37"/>
      <c r="K158" s="37"/>
      <c r="L158" s="37"/>
      <c r="M158" s="37"/>
      <c r="N158" s="37"/>
      <c r="O158" s="37"/>
      <c r="P158" s="4"/>
    </row>
    <row r="159" spans="1:18" x14ac:dyDescent="0.25">
      <c r="A159" s="24"/>
      <c r="B159" s="237">
        <f>B150/$B$158</f>
        <v>0</v>
      </c>
      <c r="C159" s="237">
        <f>C150/$B$158</f>
        <v>0</v>
      </c>
      <c r="D159" s="237">
        <f t="shared" ref="D159:N159" si="64">D150/$B$158</f>
        <v>0</v>
      </c>
      <c r="E159" s="237">
        <f t="shared" si="64"/>
        <v>0</v>
      </c>
      <c r="F159" s="237">
        <f t="shared" si="64"/>
        <v>0</v>
      </c>
      <c r="G159" s="237">
        <f t="shared" si="64"/>
        <v>0.25612716075350556</v>
      </c>
      <c r="H159" s="237">
        <f t="shared" si="64"/>
        <v>0</v>
      </c>
      <c r="I159" s="237">
        <f t="shared" si="64"/>
        <v>0</v>
      </c>
      <c r="J159" s="237">
        <f t="shared" si="64"/>
        <v>0</v>
      </c>
      <c r="K159" s="237">
        <f t="shared" si="64"/>
        <v>0</v>
      </c>
      <c r="L159" s="237">
        <f t="shared" si="64"/>
        <v>0</v>
      </c>
      <c r="M159" s="237">
        <f t="shared" si="64"/>
        <v>0</v>
      </c>
      <c r="N159" s="237">
        <f t="shared" si="64"/>
        <v>0</v>
      </c>
      <c r="O159" s="24"/>
    </row>
    <row r="160" spans="1:18" x14ac:dyDescent="0.25">
      <c r="A160" s="57"/>
      <c r="B160" s="58"/>
      <c r="C160" s="58"/>
      <c r="D160" s="58"/>
      <c r="E160" s="58"/>
      <c r="F160" s="58"/>
      <c r="G160" s="58"/>
      <c r="H160" s="58"/>
      <c r="I160" s="58"/>
      <c r="J160" s="58"/>
      <c r="K160" s="58"/>
      <c r="L160" s="58"/>
      <c r="M160" s="58"/>
      <c r="N160" s="58"/>
      <c r="O160" s="57"/>
      <c r="P160" s="16"/>
    </row>
    <row r="161" spans="1:16" x14ac:dyDescent="0.25">
      <c r="A161" s="69" t="s">
        <v>14</v>
      </c>
      <c r="B161" s="57"/>
      <c r="C161" s="57"/>
      <c r="D161" s="57"/>
      <c r="E161" s="57"/>
      <c r="F161" s="57"/>
      <c r="G161" s="57"/>
      <c r="H161" s="57"/>
      <c r="I161" s="57"/>
      <c r="J161" s="57"/>
      <c r="K161" s="57"/>
      <c r="L161" s="57"/>
      <c r="M161" s="57"/>
      <c r="N161" s="57"/>
      <c r="O161" s="57"/>
      <c r="P161" s="16"/>
    </row>
    <row r="162" spans="1:16" x14ac:dyDescent="0.25">
      <c r="A162" s="16" t="s">
        <v>11</v>
      </c>
      <c r="B162" s="63">
        <f>+B150+B53+B105</f>
        <v>0</v>
      </c>
      <c r="C162" s="63">
        <f>+C150+C53+C105</f>
        <v>0</v>
      </c>
      <c r="D162" s="63">
        <f t="shared" ref="D162:N162" si="65">+D150+D53+D105</f>
        <v>0</v>
      </c>
      <c r="E162" s="63">
        <f t="shared" si="65"/>
        <v>0</v>
      </c>
      <c r="F162" s="63">
        <f t="shared" si="65"/>
        <v>0</v>
      </c>
      <c r="G162" s="63">
        <f t="shared" si="65"/>
        <v>39264.476724</v>
      </c>
      <c r="H162" s="63">
        <f t="shared" si="65"/>
        <v>0</v>
      </c>
      <c r="I162" s="63">
        <f t="shared" si="65"/>
        <v>0</v>
      </c>
      <c r="J162" s="63">
        <f t="shared" si="65"/>
        <v>0</v>
      </c>
      <c r="K162" s="63">
        <f t="shared" si="65"/>
        <v>0</v>
      </c>
      <c r="L162" s="63">
        <f t="shared" si="65"/>
        <v>0</v>
      </c>
      <c r="M162" s="63">
        <f t="shared" si="65"/>
        <v>0</v>
      </c>
      <c r="N162" s="63">
        <f t="shared" si="65"/>
        <v>0</v>
      </c>
      <c r="O162" s="63"/>
      <c r="P162" s="45">
        <f>MAX(B162:N162)</f>
        <v>39264.476724</v>
      </c>
    </row>
    <row r="163" spans="1:16" x14ac:dyDescent="0.25">
      <c r="A163" s="16" t="s">
        <v>7</v>
      </c>
      <c r="B163" s="63">
        <f t="shared" ref="B163:N163" si="66">+B151+B54+B106</f>
        <v>0</v>
      </c>
      <c r="C163" s="63">
        <f>+C151+C54+C106</f>
        <v>0</v>
      </c>
      <c r="D163" s="63">
        <f t="shared" si="66"/>
        <v>0</v>
      </c>
      <c r="E163" s="63">
        <f t="shared" si="66"/>
        <v>0</v>
      </c>
      <c r="F163" s="63">
        <f t="shared" si="66"/>
        <v>0</v>
      </c>
      <c r="G163" s="63">
        <f t="shared" si="66"/>
        <v>20204685.422305003</v>
      </c>
      <c r="H163" s="63">
        <f t="shared" si="66"/>
        <v>0</v>
      </c>
      <c r="I163" s="63">
        <f t="shared" si="66"/>
        <v>0</v>
      </c>
      <c r="J163" s="63">
        <f t="shared" si="66"/>
        <v>0</v>
      </c>
      <c r="K163" s="63">
        <f t="shared" si="66"/>
        <v>0</v>
      </c>
      <c r="L163" s="63">
        <f t="shared" si="66"/>
        <v>0</v>
      </c>
      <c r="M163" s="63">
        <f t="shared" si="66"/>
        <v>0</v>
      </c>
      <c r="N163" s="63">
        <f t="shared" si="66"/>
        <v>0</v>
      </c>
      <c r="O163" s="63">
        <f>SUM(B163:N163)</f>
        <v>20204685.422305003</v>
      </c>
      <c r="P163" s="45"/>
    </row>
    <row r="164" spans="1:16" x14ac:dyDescent="0.25"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</row>
    <row r="165" spans="1:16" x14ac:dyDescent="0.25"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</row>
    <row r="166" spans="1:16" x14ac:dyDescent="0.25">
      <c r="A166" s="12" t="s">
        <v>21</v>
      </c>
      <c r="B166" s="70"/>
      <c r="C166" s="70"/>
      <c r="D166" s="70"/>
      <c r="E166" s="70"/>
      <c r="F166" s="70"/>
      <c r="G166" s="71"/>
      <c r="H166" s="71"/>
      <c r="I166" s="71"/>
      <c r="J166" s="71"/>
      <c r="K166" s="56"/>
      <c r="L166" s="56"/>
      <c r="M166" s="56"/>
      <c r="N166" s="56"/>
      <c r="O166" s="56"/>
      <c r="P166" s="11"/>
    </row>
    <row r="167" spans="1:16" x14ac:dyDescent="0.25">
      <c r="A167" s="13" t="s">
        <v>6</v>
      </c>
      <c r="B167" s="49">
        <f>+B162*0.94</f>
        <v>0</v>
      </c>
      <c r="C167" s="49">
        <f>+C162*0.95</f>
        <v>0</v>
      </c>
      <c r="D167" s="49">
        <f>+D162*0.91</f>
        <v>0</v>
      </c>
      <c r="E167" s="49">
        <f>+E162*0.91</f>
        <v>0</v>
      </c>
      <c r="F167" s="49">
        <f>+F162*0.93</f>
        <v>0</v>
      </c>
      <c r="G167" s="49">
        <f>+G162*0.92</f>
        <v>36123.31858608</v>
      </c>
      <c r="H167" s="49">
        <f>+H162*0.96</f>
        <v>0</v>
      </c>
      <c r="I167" s="49">
        <f>+I162*0.94</f>
        <v>0</v>
      </c>
      <c r="J167" s="49">
        <f>+J162*0.95</f>
        <v>0</v>
      </c>
      <c r="K167" s="49">
        <f>+K162*0.93</f>
        <v>0</v>
      </c>
      <c r="L167" s="49">
        <f>+L162*0.935</f>
        <v>0</v>
      </c>
      <c r="M167" s="49">
        <f>+M162*0.935</f>
        <v>0</v>
      </c>
      <c r="N167" s="49">
        <f>+N162*0.935</f>
        <v>0</v>
      </c>
      <c r="O167" s="82"/>
      <c r="P167" s="44">
        <f>MAX(B167:N167)</f>
        <v>36123.31858608</v>
      </c>
    </row>
    <row r="168" spans="1:16" x14ac:dyDescent="0.25">
      <c r="A168" s="14"/>
      <c r="B168" s="14" t="e">
        <f>+B162/B167</f>
        <v>#DIV/0!</v>
      </c>
      <c r="C168" s="14" t="e">
        <f>+C162/C167</f>
        <v>#DIV/0!</v>
      </c>
      <c r="D168" s="14" t="e">
        <f>+D162/D167</f>
        <v>#DIV/0!</v>
      </c>
      <c r="E168" s="14" t="e">
        <f t="shared" ref="E168:M168" si="67">+E162/E167</f>
        <v>#DIV/0!</v>
      </c>
      <c r="F168" s="14" t="e">
        <f t="shared" si="67"/>
        <v>#DIV/0!</v>
      </c>
      <c r="G168" s="14">
        <f t="shared" si="67"/>
        <v>1.0869565217391304</v>
      </c>
      <c r="H168" s="14" t="e">
        <f t="shared" si="67"/>
        <v>#DIV/0!</v>
      </c>
      <c r="I168" s="14" t="e">
        <f t="shared" si="67"/>
        <v>#DIV/0!</v>
      </c>
      <c r="J168" s="14" t="e">
        <f t="shared" si="67"/>
        <v>#DIV/0!</v>
      </c>
      <c r="K168" s="14" t="e">
        <f t="shared" si="67"/>
        <v>#DIV/0!</v>
      </c>
      <c r="L168" s="14" t="e">
        <f t="shared" si="67"/>
        <v>#DIV/0!</v>
      </c>
      <c r="M168" s="14" t="e">
        <f t="shared" si="67"/>
        <v>#DIV/0!</v>
      </c>
      <c r="N168" s="14" t="e">
        <f>+N162/N167</f>
        <v>#DIV/0!</v>
      </c>
      <c r="O168" s="5"/>
      <c r="P168" s="14">
        <f>+P162/P167</f>
        <v>1.0869565217391304</v>
      </c>
    </row>
    <row r="169" spans="1:16" x14ac:dyDescent="0.25">
      <c r="A169" s="33"/>
      <c r="B169" s="33"/>
      <c r="C169" s="33"/>
      <c r="D169" s="33"/>
      <c r="E169" s="33"/>
      <c r="F169" s="33"/>
      <c r="G169" s="33"/>
      <c r="H169" s="33"/>
      <c r="I169" s="33"/>
      <c r="J169" s="33"/>
      <c r="K169" s="33"/>
      <c r="L169" s="33"/>
      <c r="M169" s="33"/>
      <c r="N169" s="33"/>
      <c r="O169" s="48"/>
      <c r="P169" s="33"/>
    </row>
    <row r="170" spans="1:16" x14ac:dyDescent="0.25">
      <c r="A170" s="33"/>
      <c r="B170" s="33"/>
      <c r="C170" s="33"/>
      <c r="D170" s="33"/>
      <c r="E170" s="33"/>
      <c r="F170" s="61" t="s">
        <v>160</v>
      </c>
      <c r="G170" s="145" t="e">
        <f>P117+P124+P131+P138</f>
        <v>#N/A</v>
      </c>
      <c r="H170" s="33"/>
      <c r="I170" s="61" t="s">
        <v>160</v>
      </c>
      <c r="J170" s="145">
        <f>P13+P20+P27+P34+P41</f>
        <v>19233.529903999999</v>
      </c>
      <c r="K170" s="33"/>
      <c r="L170" s="61" t="s">
        <v>160</v>
      </c>
      <c r="M170" s="145">
        <f>P65+P72+P79+P86+P93</f>
        <v>16900.120032999999</v>
      </c>
      <c r="N170" s="33"/>
      <c r="O170" s="61" t="s">
        <v>160</v>
      </c>
      <c r="P170" s="145">
        <f>P162</f>
        <v>39264.476724</v>
      </c>
    </row>
    <row r="171" spans="1:16" x14ac:dyDescent="0.25">
      <c r="F171" s="160" t="s">
        <v>350</v>
      </c>
      <c r="G171" s="145">
        <f>P150</f>
        <v>5016.8600260000003</v>
      </c>
      <c r="I171" s="160" t="s">
        <v>349</v>
      </c>
      <c r="J171" s="145">
        <f>P53</f>
        <v>18347.733398</v>
      </c>
      <c r="L171" s="160" t="s">
        <v>348</v>
      </c>
      <c r="M171" s="145">
        <f>P105</f>
        <v>15899.8833</v>
      </c>
      <c r="O171" s="61" t="s">
        <v>171</v>
      </c>
      <c r="P171" s="145">
        <f>P167</f>
        <v>36123.31858608</v>
      </c>
    </row>
    <row r="172" spans="1:16" x14ac:dyDescent="0.25">
      <c r="F172" s="146" t="s">
        <v>162</v>
      </c>
      <c r="G172" s="147" t="e">
        <f>G170/G171</f>
        <v>#N/A</v>
      </c>
      <c r="I172" s="146" t="s">
        <v>162</v>
      </c>
      <c r="J172" s="147">
        <f>J170/J171</f>
        <v>1.0482782525113732</v>
      </c>
      <c r="L172" s="146" t="s">
        <v>162</v>
      </c>
      <c r="M172" s="147">
        <f>M170/M171</f>
        <v>1.0629084323530853</v>
      </c>
      <c r="O172" s="146" t="s">
        <v>162</v>
      </c>
      <c r="P172" s="147">
        <f>P170/P171</f>
        <v>1.0869565217391304</v>
      </c>
    </row>
    <row r="174" spans="1:16" x14ac:dyDescent="0.25">
      <c r="B174" s="39" t="e">
        <f>B50+B102+B147</f>
        <v>#N/A</v>
      </c>
      <c r="C174" s="39" t="e">
        <f>C50+C102+C147</f>
        <v>#N/A</v>
      </c>
      <c r="D174" s="39" t="e">
        <f t="shared" ref="D174:N174" si="68">D50+D102+D147</f>
        <v>#N/A</v>
      </c>
      <c r="E174" s="39" t="e">
        <f t="shared" si="68"/>
        <v>#N/A</v>
      </c>
      <c r="F174" s="39" t="e">
        <f t="shared" si="68"/>
        <v>#N/A</v>
      </c>
      <c r="G174" s="39" t="e">
        <f t="shared" si="68"/>
        <v>#N/A</v>
      </c>
      <c r="H174" s="39" t="e">
        <f t="shared" si="68"/>
        <v>#N/A</v>
      </c>
      <c r="I174" s="39" t="e">
        <f t="shared" si="68"/>
        <v>#N/A</v>
      </c>
      <c r="J174" s="39" t="e">
        <f t="shared" si="68"/>
        <v>#N/A</v>
      </c>
      <c r="K174" s="39" t="e">
        <f t="shared" si="68"/>
        <v>#N/A</v>
      </c>
      <c r="L174" s="39" t="e">
        <f t="shared" si="68"/>
        <v>#N/A</v>
      </c>
      <c r="M174" s="39" t="e">
        <f t="shared" si="68"/>
        <v>#N/A</v>
      </c>
      <c r="N174" s="39" t="e">
        <f t="shared" si="68"/>
        <v>#N/A</v>
      </c>
    </row>
    <row r="175" spans="1:16" x14ac:dyDescent="0.25">
      <c r="B175" s="251">
        <f>B53+B105+B150</f>
        <v>0</v>
      </c>
      <c r="C175" s="251">
        <f>C53+C105+C150</f>
        <v>0</v>
      </c>
      <c r="D175" s="251">
        <f t="shared" ref="D175:N175" si="69">D53+D105+D150</f>
        <v>0</v>
      </c>
      <c r="E175" s="251">
        <f t="shared" si="69"/>
        <v>0</v>
      </c>
      <c r="F175" s="251">
        <f t="shared" si="69"/>
        <v>0</v>
      </c>
      <c r="G175" s="251">
        <f t="shared" si="69"/>
        <v>39264.476724</v>
      </c>
      <c r="H175" s="251">
        <f t="shared" si="69"/>
        <v>0</v>
      </c>
      <c r="I175" s="251">
        <f t="shared" si="69"/>
        <v>0</v>
      </c>
      <c r="J175" s="251">
        <f t="shared" si="69"/>
        <v>0</v>
      </c>
      <c r="K175" s="251">
        <f t="shared" si="69"/>
        <v>0</v>
      </c>
      <c r="L175" s="251">
        <f t="shared" si="69"/>
        <v>0</v>
      </c>
      <c r="M175" s="251">
        <f t="shared" si="69"/>
        <v>0</v>
      </c>
      <c r="N175" s="251">
        <f t="shared" si="69"/>
        <v>0</v>
      </c>
    </row>
    <row r="176" spans="1:16" x14ac:dyDescent="0.25">
      <c r="A176" t="s">
        <v>351</v>
      </c>
      <c r="B176" s="242" t="e">
        <f>B174/B175</f>
        <v>#N/A</v>
      </c>
      <c r="C176" s="242" t="e">
        <f>C174/C175</f>
        <v>#N/A</v>
      </c>
      <c r="D176" s="242" t="e">
        <f t="shared" ref="D176:N176" si="70">D174/D175</f>
        <v>#N/A</v>
      </c>
      <c r="E176" s="242" t="e">
        <f t="shared" si="70"/>
        <v>#N/A</v>
      </c>
      <c r="F176" s="242" t="e">
        <f t="shared" si="70"/>
        <v>#N/A</v>
      </c>
      <c r="G176" s="242" t="e">
        <f t="shared" si="70"/>
        <v>#N/A</v>
      </c>
      <c r="H176" s="242" t="e">
        <f t="shared" si="70"/>
        <v>#N/A</v>
      </c>
      <c r="I176" s="242" t="e">
        <f t="shared" si="70"/>
        <v>#N/A</v>
      </c>
      <c r="J176" s="242" t="e">
        <f t="shared" si="70"/>
        <v>#N/A</v>
      </c>
      <c r="K176" s="242" t="e">
        <f t="shared" si="70"/>
        <v>#N/A</v>
      </c>
      <c r="L176" s="242" t="e">
        <f t="shared" si="70"/>
        <v>#N/A</v>
      </c>
      <c r="M176" s="242" t="e">
        <f t="shared" si="70"/>
        <v>#N/A</v>
      </c>
      <c r="N176" s="242" t="e">
        <f t="shared" si="70"/>
        <v>#N/A</v>
      </c>
    </row>
    <row r="178" spans="1:1" x14ac:dyDescent="0.25">
      <c r="A178" s="271" t="s">
        <v>323</v>
      </c>
    </row>
    <row r="179" spans="1:1" x14ac:dyDescent="0.25">
      <c r="A179" t="s">
        <v>433</v>
      </c>
    </row>
    <row r="181" spans="1:1" x14ac:dyDescent="0.25">
      <c r="A181" s="271" t="s">
        <v>324</v>
      </c>
    </row>
  </sheetData>
  <mergeCells count="21">
    <mergeCell ref="A9:A10"/>
    <mergeCell ref="B9:B10"/>
    <mergeCell ref="D9:D10"/>
    <mergeCell ref="E9:E10"/>
    <mergeCell ref="F9:F10"/>
    <mergeCell ref="C9:C10"/>
    <mergeCell ref="E2:M2"/>
    <mergeCell ref="E3:M3"/>
    <mergeCell ref="E4:M4"/>
    <mergeCell ref="E5:M5"/>
    <mergeCell ref="E6:M6"/>
    <mergeCell ref="N9:N10"/>
    <mergeCell ref="O9:O10"/>
    <mergeCell ref="P9:P10"/>
    <mergeCell ref="G9:G10"/>
    <mergeCell ref="H9:H10"/>
    <mergeCell ref="I9:I10"/>
    <mergeCell ref="J9:J10"/>
    <mergeCell ref="L9:L10"/>
    <mergeCell ref="M9:M10"/>
    <mergeCell ref="K9:K10"/>
  </mergeCells>
  <printOptions horizontalCentered="1" verticalCentered="1"/>
  <pageMargins left="0.19685039370078741" right="0.19685039370078741" top="0.19685039370078741" bottom="0.19685039370078741" header="0" footer="0"/>
  <pageSetup orientation="landscape" horizontalDpi="300" verticalDpi="300" r:id="rId1"/>
  <headerFooter alignWithMargins="0">
    <oddFooter>&amp;RElaboro: Departamento de Planeacion Campeche</oddFooter>
  </headerFooter>
  <rowBreaks count="1" manualBreakCount="1">
    <brk id="62" max="16383" man="1"/>
  </rowBreaks>
  <drawing r:id="rId2"/>
  <legacy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theme="8" tint="0.59999389629810485"/>
  </sheetPr>
  <dimension ref="A1:R53"/>
  <sheetViews>
    <sheetView topLeftCell="A4" zoomScale="110" zoomScaleNormal="110" workbookViewId="0">
      <selection activeCell="B36" sqref="B36:N36"/>
    </sheetView>
  </sheetViews>
  <sheetFormatPr baseColWidth="10" defaultRowHeight="13.2" x14ac:dyDescent="0.25"/>
  <cols>
    <col min="1" max="1" width="16.88671875" bestFit="1" customWidth="1"/>
    <col min="2" max="16" width="15.6640625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152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249</v>
      </c>
      <c r="B12" s="262"/>
      <c r="C12" s="262"/>
      <c r="D12" s="262"/>
      <c r="E12" s="262"/>
      <c r="F12" s="263"/>
      <c r="G12" s="264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1949.6350090000001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3">
        <f>MAX(B13:N13)</f>
        <v>1949.6350090000001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1025859.581943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1025859.581943</v>
      </c>
      <c r="P14" s="43">
        <f>SUM(B14:N14)/(COUNTIF(B14:N14,"&gt;0"))</f>
        <v>1025859.581943</v>
      </c>
    </row>
    <row r="15" spans="1:16" x14ac:dyDescent="0.25">
      <c r="A15" s="3" t="s">
        <v>16</v>
      </c>
      <c r="B15" s="37" t="e">
        <f t="shared" ref="B15:H15" si="0">+((B13/B17)^2-(B13^2))^(0.5)</f>
        <v>#DIV/0!</v>
      </c>
      <c r="C15" s="37" t="e">
        <f t="shared" si="0"/>
        <v>#DIV/0!</v>
      </c>
      <c r="D15" s="37" t="e">
        <f t="shared" si="0"/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476.12486112295159</v>
      </c>
      <c r="H15" s="37" t="e">
        <f t="shared" si="0"/>
        <v>#DIV/0!</v>
      </c>
      <c r="I15" s="37" t="e">
        <f t="shared" ref="I15:N15" si="1">+((I13/I17)^2-(I13^2))^(0.5)</f>
        <v>#DIV/0!</v>
      </c>
      <c r="J15" s="37" t="e">
        <f t="shared" si="1"/>
        <v>#DIV/0!</v>
      </c>
      <c r="K15" s="37" t="e">
        <f t="shared" si="1"/>
        <v>#DIV/0!</v>
      </c>
      <c r="L15" s="37" t="e">
        <f t="shared" si="1"/>
        <v>#DIV/0!</v>
      </c>
      <c r="M15" s="37" t="e">
        <f t="shared" si="1"/>
        <v>#DIV/0!</v>
      </c>
      <c r="N15" s="37" t="e">
        <f t="shared" si="1"/>
        <v>#DIV/0!</v>
      </c>
      <c r="O15" s="37"/>
      <c r="P15" s="4">
        <f>HLOOKUP(P13,B13:N15,3,FALSE)</f>
        <v>476.12486112295159</v>
      </c>
    </row>
    <row r="16" spans="1:16" x14ac:dyDescent="0.25">
      <c r="A16" s="3" t="s">
        <v>8</v>
      </c>
      <c r="B16" s="37">
        <f t="shared" ref="B16:H16" si="2">+B14/(24*B$8)</f>
        <v>0</v>
      </c>
      <c r="C16" s="37">
        <f t="shared" si="2"/>
        <v>0</v>
      </c>
      <c r="D16" s="37">
        <f t="shared" si="2"/>
        <v>0</v>
      </c>
      <c r="E16" s="37">
        <f t="shared" si="2"/>
        <v>0</v>
      </c>
      <c r="F16" s="37">
        <f t="shared" si="2"/>
        <v>0</v>
      </c>
      <c r="G16" s="37">
        <f t="shared" si="2"/>
        <v>1378.8435241169354</v>
      </c>
      <c r="H16" s="37">
        <f t="shared" si="2"/>
        <v>0</v>
      </c>
      <c r="I16" s="37">
        <f t="shared" ref="I16:N16" si="3">+I14/(24*I$8)</f>
        <v>0</v>
      </c>
      <c r="J16" s="37">
        <f t="shared" si="3"/>
        <v>0</v>
      </c>
      <c r="K16" s="37">
        <f t="shared" si="3"/>
        <v>0</v>
      </c>
      <c r="L16" s="37">
        <f t="shared" si="3"/>
        <v>0</v>
      </c>
      <c r="M16" s="37">
        <f t="shared" si="3"/>
        <v>0</v>
      </c>
      <c r="N16" s="37">
        <f t="shared" si="3"/>
        <v>0</v>
      </c>
      <c r="O16" s="6">
        <f>SUM(O14)/(24*O$8)</f>
        <v>117.10725821267123</v>
      </c>
      <c r="P16" s="4">
        <f>O14/(COUNTIF(B14:N14,"&gt;0")*720)</f>
        <v>1424.8049749208333</v>
      </c>
    </row>
    <row r="17" spans="1:17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0.97145099999999995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0.97145099999999995</v>
      </c>
    </row>
    <row r="18" spans="1:17" x14ac:dyDescent="0.25">
      <c r="A18" s="3" t="s">
        <v>17</v>
      </c>
      <c r="B18" s="37" t="e">
        <f>+B16/B13</f>
        <v>#DIV/0!</v>
      </c>
      <c r="C18" s="37" t="e">
        <f>+C16/C13</f>
        <v>#DIV/0!</v>
      </c>
      <c r="D18" s="37" t="e">
        <f t="shared" ref="D18:I18" si="4">+D16/D13</f>
        <v>#DIV/0!</v>
      </c>
      <c r="E18" s="37" t="e">
        <f t="shared" si="4"/>
        <v>#DIV/0!</v>
      </c>
      <c r="F18" s="37" t="e">
        <f t="shared" si="4"/>
        <v>#DIV/0!</v>
      </c>
      <c r="G18" s="37">
        <f t="shared" si="4"/>
        <v>0.70723161912452881</v>
      </c>
      <c r="H18" s="37" t="e">
        <f t="shared" si="4"/>
        <v>#DIV/0!</v>
      </c>
      <c r="I18" s="37" t="e">
        <f t="shared" si="4"/>
        <v>#DIV/0!</v>
      </c>
      <c r="J18" s="37" t="e">
        <f>+J16/J13</f>
        <v>#DIV/0!</v>
      </c>
      <c r="K18" s="37" t="e">
        <f>+K16/K13</f>
        <v>#DIV/0!</v>
      </c>
      <c r="L18" s="37" t="e">
        <f>+L16/L13</f>
        <v>#DIV/0!</v>
      </c>
      <c r="M18" s="37" t="e">
        <f>+M16/M13</f>
        <v>#DIV/0!</v>
      </c>
      <c r="N18" s="37" t="e">
        <f>+N16/N13</f>
        <v>#DIV/0!</v>
      </c>
      <c r="O18" s="6"/>
      <c r="P18" s="4">
        <f>+P16/P13</f>
        <v>0.73080600642867977</v>
      </c>
    </row>
    <row r="19" spans="1:17" s="24" customFormat="1" x14ac:dyDescent="0.25">
      <c r="A19" s="271" t="s">
        <v>250</v>
      </c>
      <c r="B19" s="65"/>
      <c r="C19" s="65"/>
      <c r="D19" s="65"/>
      <c r="E19" s="65"/>
      <c r="F19" s="65"/>
      <c r="G19" s="66"/>
      <c r="H19" s="66"/>
      <c r="I19" s="66"/>
      <c r="J19" s="66"/>
      <c r="K19" s="50"/>
      <c r="L19" s="50"/>
      <c r="M19" s="50"/>
      <c r="N19" s="50"/>
      <c r="O19" s="50"/>
      <c r="P19" s="50"/>
    </row>
    <row r="20" spans="1:17" x14ac:dyDescent="0.25">
      <c r="A20" s="3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1923.101684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1923.101684</v>
      </c>
    </row>
    <row r="21" spans="1:17" x14ac:dyDescent="0.25">
      <c r="A21" s="3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998959.76743699994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998959.76743699994</v>
      </c>
      <c r="P21" s="43">
        <f>SUM(B21:N21)/(COUNTIF(B21:N21,"&gt;0"))</f>
        <v>998959.76743699994</v>
      </c>
    </row>
    <row r="22" spans="1:17" x14ac:dyDescent="0.25">
      <c r="A22" s="3" t="s">
        <v>16</v>
      </c>
      <c r="B22" s="37" t="e">
        <f t="shared" ref="B22:H22" si="5">+((B20/B24)^2-(B20^2))^(0.5)</f>
        <v>#DIV/0!</v>
      </c>
      <c r="C22" s="37" t="e">
        <f t="shared" si="5"/>
        <v>#DIV/0!</v>
      </c>
      <c r="D22" s="37" t="e">
        <f t="shared" si="5"/>
        <v>#DIV/0!</v>
      </c>
      <c r="E22" s="37" t="e">
        <f t="shared" si="5"/>
        <v>#DIV/0!</v>
      </c>
      <c r="F22" s="37" t="e">
        <f t="shared" si="5"/>
        <v>#DIV/0!</v>
      </c>
      <c r="G22" s="37">
        <f t="shared" si="5"/>
        <v>341.33471643787345</v>
      </c>
      <c r="H22" s="37" t="e">
        <f t="shared" si="5"/>
        <v>#DIV/0!</v>
      </c>
      <c r="I22" s="37" t="e">
        <f t="shared" ref="I22:N22" si="6">+((I20/I24)^2-(I20^2))^(0.5)</f>
        <v>#DIV/0!</v>
      </c>
      <c r="J22" s="37" t="e">
        <f t="shared" si="6"/>
        <v>#DIV/0!</v>
      </c>
      <c r="K22" s="37" t="e">
        <f t="shared" si="6"/>
        <v>#DIV/0!</v>
      </c>
      <c r="L22" s="37" t="e">
        <f t="shared" si="6"/>
        <v>#DIV/0!</v>
      </c>
      <c r="M22" s="37" t="e">
        <f t="shared" si="6"/>
        <v>#DIV/0!</v>
      </c>
      <c r="N22" s="37" t="e">
        <f t="shared" si="6"/>
        <v>#DIV/0!</v>
      </c>
      <c r="O22" s="37"/>
      <c r="P22" s="4">
        <f>HLOOKUP(P20,B20:N22,3,FALSE)</f>
        <v>341.33471643787345</v>
      </c>
    </row>
    <row r="23" spans="1:17" x14ac:dyDescent="0.25">
      <c r="A23" s="3" t="s">
        <v>8</v>
      </c>
      <c r="B23" s="37">
        <f t="shared" ref="B23:H23" si="7">+B21/(24*B$8)</f>
        <v>0</v>
      </c>
      <c r="C23" s="37">
        <f t="shared" si="7"/>
        <v>0</v>
      </c>
      <c r="D23" s="37">
        <f t="shared" si="7"/>
        <v>0</v>
      </c>
      <c r="E23" s="37">
        <f t="shared" si="7"/>
        <v>0</v>
      </c>
      <c r="F23" s="37">
        <f t="shared" si="7"/>
        <v>0</v>
      </c>
      <c r="G23" s="37">
        <f t="shared" si="7"/>
        <v>1342.6878594583332</v>
      </c>
      <c r="H23" s="37">
        <f t="shared" si="7"/>
        <v>0</v>
      </c>
      <c r="I23" s="37">
        <f t="shared" ref="I23:N23" si="8">+I21/(24*I$8)</f>
        <v>0</v>
      </c>
      <c r="J23" s="37">
        <f t="shared" si="8"/>
        <v>0</v>
      </c>
      <c r="K23" s="37">
        <f t="shared" si="8"/>
        <v>0</v>
      </c>
      <c r="L23" s="37">
        <f t="shared" si="8"/>
        <v>0</v>
      </c>
      <c r="M23" s="37">
        <f t="shared" si="8"/>
        <v>0</v>
      </c>
      <c r="N23" s="37">
        <f t="shared" si="8"/>
        <v>0</v>
      </c>
      <c r="O23" s="6">
        <f>SUM(O21)/(24*O$8)</f>
        <v>114.03650313207761</v>
      </c>
      <c r="P23" s="4">
        <f>O21/(COUNTIF(B21:N21,"&gt;0")*720)</f>
        <v>1387.4441214402777</v>
      </c>
    </row>
    <row r="24" spans="1:17" x14ac:dyDescent="0.25">
      <c r="A24" s="3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0.98461100000000001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0.9846109999999999</v>
      </c>
    </row>
    <row r="25" spans="1:17" x14ac:dyDescent="0.25">
      <c r="A25" s="3" t="s">
        <v>17</v>
      </c>
      <c r="B25" s="37" t="e">
        <f t="shared" ref="B25:H25" si="9">+B23/B20</f>
        <v>#DIV/0!</v>
      </c>
      <c r="C25" s="37" t="e">
        <f t="shared" si="9"/>
        <v>#DIV/0!</v>
      </c>
      <c r="D25" s="37" t="e">
        <f t="shared" si="9"/>
        <v>#DIV/0!</v>
      </c>
      <c r="E25" s="37" t="e">
        <f t="shared" si="9"/>
        <v>#DIV/0!</v>
      </c>
      <c r="F25" s="37" t="e">
        <f t="shared" si="9"/>
        <v>#DIV/0!</v>
      </c>
      <c r="G25" s="37">
        <f t="shared" si="9"/>
        <v>0.69818869726408761</v>
      </c>
      <c r="H25" s="37" t="e">
        <f t="shared" si="9"/>
        <v>#DIV/0!</v>
      </c>
      <c r="I25" s="37" t="e">
        <f t="shared" ref="I25:N25" si="10">+I23/I20</f>
        <v>#DIV/0!</v>
      </c>
      <c r="J25" s="37" t="e">
        <f t="shared" si="10"/>
        <v>#DIV/0!</v>
      </c>
      <c r="K25" s="37" t="e">
        <f t="shared" si="10"/>
        <v>#DIV/0!</v>
      </c>
      <c r="L25" s="37" t="e">
        <f t="shared" si="10"/>
        <v>#DIV/0!</v>
      </c>
      <c r="M25" s="37" t="e">
        <f t="shared" si="10"/>
        <v>#DIV/0!</v>
      </c>
      <c r="N25" s="37" t="e">
        <f t="shared" si="10"/>
        <v>#DIV/0!</v>
      </c>
      <c r="O25" s="6"/>
      <c r="P25" s="4">
        <f>+P23/P20</f>
        <v>0.72146165383955729</v>
      </c>
    </row>
    <row r="26" spans="1:17" x14ac:dyDescent="0.25">
      <c r="A26" s="90"/>
      <c r="B26" s="77"/>
      <c r="C26" s="77"/>
      <c r="D26" s="77"/>
      <c r="E26" s="77"/>
      <c r="F26" s="77"/>
      <c r="G26" s="77"/>
      <c r="H26" s="77"/>
      <c r="I26" s="77"/>
      <c r="J26" s="77"/>
      <c r="K26" s="77"/>
      <c r="L26" s="77"/>
      <c r="M26" s="77"/>
      <c r="N26" s="77"/>
      <c r="O26" s="77"/>
      <c r="P26" s="77"/>
    </row>
    <row r="27" spans="1:17" x14ac:dyDescent="0.25">
      <c r="A27" s="90"/>
      <c r="B27" s="77"/>
      <c r="C27" s="77"/>
      <c r="D27" s="77"/>
      <c r="E27" s="77"/>
      <c r="F27" s="77"/>
      <c r="G27" s="77"/>
      <c r="H27" s="77"/>
      <c r="I27" s="77"/>
      <c r="J27" s="77"/>
      <c r="K27" s="77"/>
      <c r="L27" s="77"/>
      <c r="M27" s="77"/>
      <c r="N27" s="77"/>
      <c r="O27" s="77"/>
      <c r="P27" s="77"/>
    </row>
    <row r="28" spans="1:17" x14ac:dyDescent="0.25">
      <c r="A28" s="7" t="s">
        <v>10</v>
      </c>
      <c r="B28" s="72"/>
      <c r="C28" s="72"/>
      <c r="D28" s="72"/>
      <c r="E28" s="72"/>
      <c r="F28" s="72"/>
      <c r="G28" s="73"/>
      <c r="H28" s="73"/>
      <c r="I28" s="73"/>
      <c r="J28" s="73"/>
      <c r="K28" s="73"/>
      <c r="L28" s="53"/>
      <c r="M28" s="53"/>
      <c r="N28" s="53"/>
      <c r="O28" s="53"/>
      <c r="P28" s="8"/>
    </row>
    <row r="29" spans="1:17" x14ac:dyDescent="0.25">
      <c r="A29" s="9" t="s">
        <v>11</v>
      </c>
      <c r="B29" s="62">
        <f>+B13+B20</f>
        <v>0</v>
      </c>
      <c r="C29" s="62">
        <f>+C13+C20</f>
        <v>0</v>
      </c>
      <c r="D29" s="62">
        <f t="shared" ref="D29:H30" si="11">+D13+D20</f>
        <v>0</v>
      </c>
      <c r="E29" s="62">
        <f t="shared" si="11"/>
        <v>0</v>
      </c>
      <c r="F29" s="62">
        <f t="shared" si="11"/>
        <v>0</v>
      </c>
      <c r="G29" s="62">
        <f t="shared" si="11"/>
        <v>3872.7366929999998</v>
      </c>
      <c r="H29" s="62">
        <f t="shared" si="11"/>
        <v>0</v>
      </c>
      <c r="I29" s="62">
        <f t="shared" ref="I29:N29" si="12">+I13+I20</f>
        <v>0</v>
      </c>
      <c r="J29" s="62">
        <f t="shared" si="12"/>
        <v>0</v>
      </c>
      <c r="K29" s="62">
        <f t="shared" si="12"/>
        <v>0</v>
      </c>
      <c r="L29" s="62">
        <f t="shared" si="12"/>
        <v>0</v>
      </c>
      <c r="M29" s="62">
        <f t="shared" si="12"/>
        <v>0</v>
      </c>
      <c r="N29" s="62">
        <f t="shared" si="12"/>
        <v>0</v>
      </c>
      <c r="O29" s="62"/>
      <c r="P29" s="42">
        <f>MAX(B29:N29)</f>
        <v>3872.7366929999998</v>
      </c>
    </row>
    <row r="30" spans="1:17" x14ac:dyDescent="0.25">
      <c r="A30" s="9" t="s">
        <v>7</v>
      </c>
      <c r="B30" s="62">
        <f>+B14+B21</f>
        <v>0</v>
      </c>
      <c r="C30" s="62">
        <f>+C14+C21</f>
        <v>0</v>
      </c>
      <c r="D30" s="62">
        <f t="shared" si="11"/>
        <v>0</v>
      </c>
      <c r="E30" s="62">
        <f t="shared" si="11"/>
        <v>0</v>
      </c>
      <c r="F30" s="62">
        <f t="shared" si="11"/>
        <v>0</v>
      </c>
      <c r="G30" s="62">
        <f t="shared" si="11"/>
        <v>2024819.34938</v>
      </c>
      <c r="H30" s="62">
        <f t="shared" si="11"/>
        <v>0</v>
      </c>
      <c r="I30" s="62">
        <f t="shared" ref="I30:N30" si="13">+I14+I21</f>
        <v>0</v>
      </c>
      <c r="J30" s="62">
        <f t="shared" si="13"/>
        <v>0</v>
      </c>
      <c r="K30" s="62">
        <f t="shared" si="13"/>
        <v>0</v>
      </c>
      <c r="L30" s="62">
        <f t="shared" si="13"/>
        <v>0</v>
      </c>
      <c r="M30" s="62">
        <f t="shared" si="13"/>
        <v>0</v>
      </c>
      <c r="N30" s="62">
        <f t="shared" si="13"/>
        <v>0</v>
      </c>
      <c r="O30" s="62">
        <f>SUM(B30:N30)</f>
        <v>2024819.34938</v>
      </c>
      <c r="P30" s="42"/>
    </row>
    <row r="31" spans="1:17" s="24" customFormat="1" x14ac:dyDescent="0.25">
      <c r="A31" s="272" t="s">
        <v>12</v>
      </c>
      <c r="B31" s="376" t="s">
        <v>490</v>
      </c>
      <c r="C31" s="246"/>
      <c r="D31" s="246"/>
      <c r="E31" s="246"/>
      <c r="F31" s="246"/>
      <c r="G31" s="247"/>
      <c r="H31" s="247"/>
      <c r="I31" s="247"/>
      <c r="J31" s="247"/>
      <c r="K31" s="36"/>
      <c r="L31" s="36"/>
      <c r="M31" s="36"/>
      <c r="N31" s="36"/>
      <c r="O31" s="36"/>
      <c r="P31" s="36"/>
    </row>
    <row r="32" spans="1:17" x14ac:dyDescent="0.25">
      <c r="A32" s="3" t="s">
        <v>6</v>
      </c>
      <c r="B32" s="385">
        <f>VLOOKUP($B$31,BancoTabla_1[],5,FALSE)</f>
        <v>0</v>
      </c>
      <c r="C32" s="385">
        <f>VLOOKUP($B$31,BancoTabla_2[],5,FALSE)</f>
        <v>0</v>
      </c>
      <c r="D32" s="385">
        <f>VLOOKUP($B$31,BancoTabla_3[],5,FALSE)</f>
        <v>0</v>
      </c>
      <c r="E32" s="385">
        <f>VLOOKUP($B$31,BancoTabla_4[],5,FALSE)</f>
        <v>0</v>
      </c>
      <c r="F32" s="385">
        <f>VLOOKUP($B$31,BancoTabla_5[],5,FALSE)</f>
        <v>0</v>
      </c>
      <c r="G32" s="385">
        <f>VLOOKUP($B$31,BancoTabla_6[],5,FALSE)</f>
        <v>3879.9216710000001</v>
      </c>
      <c r="H32" s="385">
        <f>VLOOKUP($B$31,BancoTabla_7[],5,FALSE)</f>
        <v>0</v>
      </c>
      <c r="I32" s="385">
        <f>VLOOKUP($B$31,BancoTabla_8[],5,FALSE)</f>
        <v>0</v>
      </c>
      <c r="J32" s="385">
        <f>VLOOKUP($B$31,BancoTabla_9[],5,FALSE)</f>
        <v>0</v>
      </c>
      <c r="K32" s="385">
        <f>VLOOKUP($B$31,BancoTabla_10[],5,FALSE)</f>
        <v>0</v>
      </c>
      <c r="L32" s="385">
        <f>VLOOKUP($B$31,BancoTabla_11[],5,FALSE)</f>
        <v>0</v>
      </c>
      <c r="M32" s="385">
        <f>VLOOKUP($B$31,BancoTabla_12[],5,FALSE)</f>
        <v>0</v>
      </c>
      <c r="N32" s="385">
        <f>VLOOKUP($B$31,BancoTabla_13[],5,FALSE)</f>
        <v>0</v>
      </c>
      <c r="O32" s="79"/>
      <c r="P32" s="43">
        <f>MAX(B32:N32)</f>
        <v>3879.9216710000001</v>
      </c>
      <c r="Q32" s="334">
        <f>P32/1000</f>
        <v>3.879921671</v>
      </c>
    </row>
    <row r="33" spans="1:18" x14ac:dyDescent="0.25">
      <c r="A33" s="3" t="s">
        <v>7</v>
      </c>
      <c r="B33" s="380">
        <f>VLOOKUP($B$31,BancoTabla_1[],8,FALSE)</f>
        <v>0</v>
      </c>
      <c r="C33" s="380">
        <f>VLOOKUP($B$31,BancoTabla_2[],8,FALSE)</f>
        <v>0</v>
      </c>
      <c r="D33" s="380">
        <f>VLOOKUP($B$31,BancoTabla_3[],8,FALSE)</f>
        <v>0</v>
      </c>
      <c r="E33" s="380">
        <f>VLOOKUP($B$31,BancoTabla_4[],8,FALSE)</f>
        <v>0</v>
      </c>
      <c r="F33" s="380">
        <f>VLOOKUP($B$31,BancoTabla_5[],8,FALSE)</f>
        <v>0</v>
      </c>
      <c r="G33" s="380">
        <f>VLOOKUP($B$31,BancoTabla_6[],8,FALSE)</f>
        <v>1979497.642275</v>
      </c>
      <c r="H33" s="380">
        <f>VLOOKUP($B$31,BancoTabla_7[],8,FALSE)</f>
        <v>0</v>
      </c>
      <c r="I33" s="380">
        <f>VLOOKUP($B$31,BancoTabla_8[],8,FALSE)</f>
        <v>0</v>
      </c>
      <c r="J33" s="380">
        <f>VLOOKUP($B$31,BancoTabla_9[],8,FALSE)</f>
        <v>0</v>
      </c>
      <c r="K33" s="380">
        <f>VLOOKUP($B$31,BancoTabla_10[],8,FALSE)</f>
        <v>0</v>
      </c>
      <c r="L33" s="380">
        <f>VLOOKUP($B$31,BancoTabla_11[],8,FALSE)</f>
        <v>0</v>
      </c>
      <c r="M33" s="380">
        <f>VLOOKUP($B$31,BancoTabla_12[],8,FALSE)</f>
        <v>0</v>
      </c>
      <c r="N33" s="380">
        <f>VLOOKUP($B$31,BancoTabla_13[],8,FALSE)</f>
        <v>0</v>
      </c>
      <c r="O33" s="47">
        <f>SUM(B33:N33)</f>
        <v>1979497.642275</v>
      </c>
      <c r="P33" s="4">
        <f>SUM(B33:N33)/(COUNTIF(B33:N33,"&gt;0"))</f>
        <v>1979497.642275</v>
      </c>
      <c r="R33" s="39"/>
    </row>
    <row r="34" spans="1:18" x14ac:dyDescent="0.25">
      <c r="A34" s="3" t="s">
        <v>16</v>
      </c>
      <c r="B34" s="37" t="e">
        <f t="shared" ref="B34:H34" si="14">+((B32/B36)^2-(B32^2))^(0.5)</f>
        <v>#DIV/0!</v>
      </c>
      <c r="C34" s="37" t="e">
        <f>+((C32/C36)^2-(C32^2))^(0.5)</f>
        <v>#DIV/0!</v>
      </c>
      <c r="D34" s="37" t="e">
        <f t="shared" si="14"/>
        <v>#DIV/0!</v>
      </c>
      <c r="E34" s="37" t="e">
        <f t="shared" si="14"/>
        <v>#DIV/0!</v>
      </c>
      <c r="F34" s="37" t="e">
        <f t="shared" si="14"/>
        <v>#DIV/0!</v>
      </c>
      <c r="G34" s="37">
        <f t="shared" si="14"/>
        <v>791.09402503667832</v>
      </c>
      <c r="H34" s="37" t="e">
        <f t="shared" si="14"/>
        <v>#DIV/0!</v>
      </c>
      <c r="I34" s="37" t="e">
        <f t="shared" ref="I34:N34" si="15">+((I32/I36)^2-(I32^2))^(0.5)</f>
        <v>#DIV/0!</v>
      </c>
      <c r="J34" s="37" t="e">
        <f t="shared" si="15"/>
        <v>#DIV/0!</v>
      </c>
      <c r="K34" s="37" t="e">
        <f t="shared" si="15"/>
        <v>#DIV/0!</v>
      </c>
      <c r="L34" s="37" t="e">
        <f t="shared" si="15"/>
        <v>#DIV/0!</v>
      </c>
      <c r="M34" s="37" t="e">
        <f t="shared" si="15"/>
        <v>#DIV/0!</v>
      </c>
      <c r="N34" s="37" t="e">
        <f t="shared" si="15"/>
        <v>#DIV/0!</v>
      </c>
      <c r="O34" s="37"/>
      <c r="P34" s="4">
        <f>HLOOKUP(P32,B32:N34,3,FALSE)</f>
        <v>791.09402503667832</v>
      </c>
    </row>
    <row r="35" spans="1:18" x14ac:dyDescent="0.25">
      <c r="A35" s="3" t="s">
        <v>8</v>
      </c>
      <c r="B35" s="37">
        <f t="shared" ref="B35:H35" si="16">+B33/(24*B$8)</f>
        <v>0</v>
      </c>
      <c r="C35" s="37">
        <f>+C33/(24*C$8)</f>
        <v>0</v>
      </c>
      <c r="D35" s="37">
        <f>+D33/(24*D$8)</f>
        <v>0</v>
      </c>
      <c r="E35" s="37">
        <f>+E33/(24*E$8)</f>
        <v>0</v>
      </c>
      <c r="F35" s="37">
        <f t="shared" si="16"/>
        <v>0</v>
      </c>
      <c r="G35" s="37">
        <f t="shared" si="16"/>
        <v>2660.6151105846775</v>
      </c>
      <c r="H35" s="37">
        <f t="shared" si="16"/>
        <v>0</v>
      </c>
      <c r="I35" s="37">
        <f t="shared" ref="I35:N35" si="17">+I33/(24*I$8)</f>
        <v>0</v>
      </c>
      <c r="J35" s="37">
        <f t="shared" si="17"/>
        <v>0</v>
      </c>
      <c r="K35" s="37">
        <f t="shared" si="17"/>
        <v>0</v>
      </c>
      <c r="L35" s="37">
        <f t="shared" si="17"/>
        <v>0</v>
      </c>
      <c r="M35" s="37">
        <f t="shared" si="17"/>
        <v>0</v>
      </c>
      <c r="N35" s="37">
        <f t="shared" si="17"/>
        <v>0</v>
      </c>
      <c r="O35" s="6">
        <f>SUM(O33)/(24*O$8)</f>
        <v>225.9700504880137</v>
      </c>
      <c r="P35" s="4">
        <f>O33/(COUNTIF(B33:N33,"&gt;0")*720)</f>
        <v>2749.3022809375002</v>
      </c>
    </row>
    <row r="36" spans="1:18" x14ac:dyDescent="0.25">
      <c r="A36" s="3" t="s">
        <v>9</v>
      </c>
      <c r="B36" s="380">
        <f>VLOOKUP($B$31,BancoTabla_1[],10,FALSE)</f>
        <v>0</v>
      </c>
      <c r="C36" s="380">
        <f>VLOOKUP($B$31,BancoTabla_2[],10,FALSE)</f>
        <v>0</v>
      </c>
      <c r="D36" s="380">
        <f>VLOOKUP($B$31,BancoTabla_3[],10,FALSE)</f>
        <v>0</v>
      </c>
      <c r="E36" s="380">
        <f>VLOOKUP($B$31,BancoTabla_4[],10,FALSE)</f>
        <v>0</v>
      </c>
      <c r="F36" s="380">
        <f>VLOOKUP($B$31,BancoTabla_5[],10,FALSE)</f>
        <v>0</v>
      </c>
      <c r="G36" s="380">
        <f>VLOOKUP($B$31,BancoTabla_6[],10,FALSE)</f>
        <v>0.97984000000000004</v>
      </c>
      <c r="H36" s="380">
        <f>VLOOKUP($B$31,BancoTabla_7[],10,FALSE)</f>
        <v>0</v>
      </c>
      <c r="I36" s="380">
        <f>VLOOKUP($B$31,BancoTabla_8[],10,FALSE)</f>
        <v>0</v>
      </c>
      <c r="J36" s="380">
        <f>VLOOKUP($B$31,BancoTabla_9[],10,FALSE)</f>
        <v>0</v>
      </c>
      <c r="K36" s="380">
        <f>VLOOKUP($B$31,BancoTabla_10[],10,FALSE)</f>
        <v>0</v>
      </c>
      <c r="L36" s="380">
        <f>VLOOKUP($B$31,BancoTabla_11[],10,FALSE)</f>
        <v>0</v>
      </c>
      <c r="M36" s="380">
        <f>VLOOKUP($B$31,BancoTabla_12[],10,FALSE)</f>
        <v>0</v>
      </c>
      <c r="N36" s="380">
        <f>VLOOKUP($B$31,BancoTabla_13[],10,FALSE)</f>
        <v>0</v>
      </c>
      <c r="O36" s="6"/>
      <c r="P36" s="4">
        <f>COS(ATAN(P34/P32))</f>
        <v>0.97984000000000004</v>
      </c>
    </row>
    <row r="37" spans="1:18" x14ac:dyDescent="0.25">
      <c r="A37" s="3" t="s">
        <v>17</v>
      </c>
      <c r="B37" s="37" t="e">
        <f t="shared" ref="B37:H37" si="18">+B35/B32</f>
        <v>#DIV/0!</v>
      </c>
      <c r="C37" s="37" t="e">
        <f>+C35/C32</f>
        <v>#DIV/0!</v>
      </c>
      <c r="D37" s="37" t="e">
        <f>+D35/D32</f>
        <v>#DIV/0!</v>
      </c>
      <c r="E37" s="37" t="e">
        <f>+E35/E32</f>
        <v>#DIV/0!</v>
      </c>
      <c r="F37" s="37" t="e">
        <f t="shared" si="18"/>
        <v>#DIV/0!</v>
      </c>
      <c r="G37" s="37">
        <f t="shared" si="18"/>
        <v>0.68573938759411557</v>
      </c>
      <c r="H37" s="37" t="e">
        <f t="shared" si="18"/>
        <v>#DIV/0!</v>
      </c>
      <c r="I37" s="37" t="e">
        <f t="shared" ref="I37:N37" si="19">+I35/I32</f>
        <v>#DIV/0!</v>
      </c>
      <c r="J37" s="37" t="e">
        <f t="shared" si="19"/>
        <v>#DIV/0!</v>
      </c>
      <c r="K37" s="37" t="e">
        <f t="shared" si="19"/>
        <v>#DIV/0!</v>
      </c>
      <c r="L37" s="37" t="e">
        <f t="shared" si="19"/>
        <v>#DIV/0!</v>
      </c>
      <c r="M37" s="37" t="e">
        <f t="shared" si="19"/>
        <v>#DIV/0!</v>
      </c>
      <c r="N37" s="37" t="e">
        <f t="shared" si="19"/>
        <v>#DIV/0!</v>
      </c>
      <c r="O37" s="6"/>
      <c r="P37" s="4">
        <f>+P35/P32</f>
        <v>0.70859736718058608</v>
      </c>
    </row>
    <row r="38" spans="1:18" x14ac:dyDescent="0.25">
      <c r="A38" s="3" t="s">
        <v>18</v>
      </c>
      <c r="B38" s="37" t="e">
        <f t="shared" ref="B38:G38" si="20">+B29/B32</f>
        <v>#DIV/0!</v>
      </c>
      <c r="C38" s="37" t="e">
        <f t="shared" si="20"/>
        <v>#DIV/0!</v>
      </c>
      <c r="D38" s="37" t="e">
        <f t="shared" si="20"/>
        <v>#DIV/0!</v>
      </c>
      <c r="E38" s="328" t="e">
        <f t="shared" si="20"/>
        <v>#DIV/0!</v>
      </c>
      <c r="F38" s="287" t="e">
        <f t="shared" si="20"/>
        <v>#DIV/0!</v>
      </c>
      <c r="G38" s="386">
        <f t="shared" si="20"/>
        <v>0.99814816416173979</v>
      </c>
      <c r="H38" s="37" t="e">
        <f t="shared" ref="H38:N38" si="21">+H29/H32</f>
        <v>#DIV/0!</v>
      </c>
      <c r="I38" s="37" t="e">
        <f t="shared" si="21"/>
        <v>#DIV/0!</v>
      </c>
      <c r="J38" s="37" t="e">
        <f t="shared" si="21"/>
        <v>#DIV/0!</v>
      </c>
      <c r="K38" s="37" t="e">
        <f t="shared" si="21"/>
        <v>#DIV/0!</v>
      </c>
      <c r="L38" s="37" t="e">
        <f t="shared" si="21"/>
        <v>#DIV/0!</v>
      </c>
      <c r="M38" s="37" t="e">
        <f t="shared" si="21"/>
        <v>#DIV/0!</v>
      </c>
      <c r="N38" s="37" t="e">
        <f t="shared" si="21"/>
        <v>#DIV/0!</v>
      </c>
      <c r="O38" s="6"/>
      <c r="P38" s="4">
        <f>+P29/P32</f>
        <v>0.99814816416173979</v>
      </c>
    </row>
    <row r="39" spans="1:18" x14ac:dyDescent="0.25">
      <c r="A39" s="3" t="s">
        <v>19</v>
      </c>
      <c r="B39" s="37">
        <f t="shared" ref="B39:H39" si="22">+B32/$B$40</f>
        <v>0</v>
      </c>
      <c r="C39" s="37">
        <f>+C32/$B$40</f>
        <v>0</v>
      </c>
      <c r="D39" s="37">
        <f t="shared" si="22"/>
        <v>0</v>
      </c>
      <c r="E39" s="37">
        <f t="shared" si="22"/>
        <v>0</v>
      </c>
      <c r="F39" s="37">
        <f t="shared" si="22"/>
        <v>0</v>
      </c>
      <c r="G39" s="37">
        <f t="shared" si="22"/>
        <v>0.19798751178763876</v>
      </c>
      <c r="H39" s="37">
        <f t="shared" si="22"/>
        <v>0</v>
      </c>
      <c r="I39" s="37">
        <f t="shared" ref="I39:N39" si="23">+I32/$B$40</f>
        <v>0</v>
      </c>
      <c r="J39" s="37">
        <f t="shared" si="23"/>
        <v>0</v>
      </c>
      <c r="K39" s="37">
        <f t="shared" si="23"/>
        <v>0</v>
      </c>
      <c r="L39" s="37">
        <f t="shared" si="23"/>
        <v>0</v>
      </c>
      <c r="M39" s="37">
        <f t="shared" si="23"/>
        <v>0</v>
      </c>
      <c r="N39" s="37">
        <f t="shared" si="23"/>
        <v>0</v>
      </c>
      <c r="O39" s="6"/>
      <c r="P39" s="4">
        <f>+P32/$B$40</f>
        <v>0.19798751178763876</v>
      </c>
    </row>
    <row r="40" spans="1:18" x14ac:dyDescent="0.25">
      <c r="A40" s="3" t="s">
        <v>20</v>
      </c>
      <c r="B40" s="4">
        <f>20*P36*1000</f>
        <v>19596.800000000003</v>
      </c>
      <c r="C40" s="4"/>
      <c r="D40" s="4"/>
      <c r="E40" s="4"/>
      <c r="F40" s="4"/>
      <c r="G40" s="3"/>
      <c r="H40" s="3"/>
      <c r="I40" s="3"/>
      <c r="J40" s="3"/>
      <c r="K40" s="4"/>
      <c r="L40" s="4"/>
      <c r="M40" s="4"/>
      <c r="N40" s="4"/>
      <c r="O40" s="37"/>
      <c r="P40" s="4"/>
    </row>
    <row r="41" spans="1:18" x14ac:dyDescent="0.25">
      <c r="B41" s="237">
        <f>B32/$B$40</f>
        <v>0</v>
      </c>
      <c r="C41" s="237">
        <f>C32/$B$40</f>
        <v>0</v>
      </c>
      <c r="D41" s="237">
        <f t="shared" ref="D41:N41" si="24">D32/$B$40</f>
        <v>0</v>
      </c>
      <c r="E41" s="237">
        <f t="shared" si="24"/>
        <v>0</v>
      </c>
      <c r="F41" s="237">
        <f t="shared" si="24"/>
        <v>0</v>
      </c>
      <c r="G41" s="237">
        <f t="shared" si="24"/>
        <v>0.19798751178763876</v>
      </c>
      <c r="H41" s="237">
        <f t="shared" si="24"/>
        <v>0</v>
      </c>
      <c r="I41" s="237">
        <f t="shared" si="24"/>
        <v>0</v>
      </c>
      <c r="J41" s="237">
        <f t="shared" si="24"/>
        <v>0</v>
      </c>
      <c r="K41" s="237">
        <f t="shared" si="24"/>
        <v>0</v>
      </c>
      <c r="L41" s="237">
        <f t="shared" si="24"/>
        <v>0</v>
      </c>
      <c r="M41" s="237">
        <f t="shared" si="24"/>
        <v>0</v>
      </c>
      <c r="N41" s="237">
        <f t="shared" si="24"/>
        <v>0</v>
      </c>
      <c r="O41" s="24"/>
    </row>
    <row r="42" spans="1:18" x14ac:dyDescent="0.25">
      <c r="B42" s="26"/>
      <c r="C42" s="26"/>
      <c r="D42" s="26"/>
      <c r="E42" s="26"/>
      <c r="F42" s="26"/>
      <c r="O42" s="24"/>
    </row>
    <row r="43" spans="1:18" x14ac:dyDescent="0.25">
      <c r="A43" s="15" t="s">
        <v>14</v>
      </c>
      <c r="B43" s="29"/>
      <c r="C43" s="29"/>
      <c r="D43" s="29"/>
      <c r="E43" s="29"/>
      <c r="F43" s="29"/>
      <c r="G43" s="15"/>
      <c r="H43" s="15"/>
      <c r="I43" s="15"/>
      <c r="J43" s="15"/>
      <c r="K43" s="16"/>
      <c r="L43" s="16"/>
      <c r="M43" s="16"/>
      <c r="N43" s="16"/>
      <c r="O43" s="57"/>
      <c r="P43" s="16"/>
    </row>
    <row r="44" spans="1:18" x14ac:dyDescent="0.25">
      <c r="A44" s="16" t="s">
        <v>11</v>
      </c>
      <c r="B44" s="45">
        <f>+B32</f>
        <v>0</v>
      </c>
      <c r="C44" s="45">
        <f>+C32</f>
        <v>0</v>
      </c>
      <c r="D44" s="45">
        <f t="shared" ref="D44:M45" si="25">+D32</f>
        <v>0</v>
      </c>
      <c r="E44" s="45">
        <f t="shared" si="25"/>
        <v>0</v>
      </c>
      <c r="F44" s="45">
        <f t="shared" si="25"/>
        <v>0</v>
      </c>
      <c r="G44" s="45">
        <f t="shared" si="25"/>
        <v>3879.9216710000001</v>
      </c>
      <c r="H44" s="45">
        <f t="shared" si="25"/>
        <v>0</v>
      </c>
      <c r="I44" s="45">
        <f t="shared" si="25"/>
        <v>0</v>
      </c>
      <c r="J44" s="45">
        <f t="shared" si="25"/>
        <v>0</v>
      </c>
      <c r="K44" s="45">
        <f t="shared" si="25"/>
        <v>0</v>
      </c>
      <c r="L44" s="45">
        <f t="shared" si="25"/>
        <v>0</v>
      </c>
      <c r="M44" s="45">
        <f t="shared" si="25"/>
        <v>0</v>
      </c>
      <c r="N44" s="45">
        <f>+N32</f>
        <v>0</v>
      </c>
      <c r="O44" s="63"/>
      <c r="P44" s="45">
        <f>MAX(B44:N44)</f>
        <v>3879.9216710000001</v>
      </c>
    </row>
    <row r="45" spans="1:18" x14ac:dyDescent="0.25">
      <c r="A45" s="16" t="s">
        <v>7</v>
      </c>
      <c r="B45" s="45">
        <f>+B33</f>
        <v>0</v>
      </c>
      <c r="C45" s="45">
        <f>+C33</f>
        <v>0</v>
      </c>
      <c r="D45" s="45">
        <f t="shared" si="25"/>
        <v>0</v>
      </c>
      <c r="E45" s="45">
        <f t="shared" si="25"/>
        <v>0</v>
      </c>
      <c r="F45" s="45">
        <f t="shared" si="25"/>
        <v>0</v>
      </c>
      <c r="G45" s="45">
        <f t="shared" si="25"/>
        <v>1979497.642275</v>
      </c>
      <c r="H45" s="45">
        <f t="shared" si="25"/>
        <v>0</v>
      </c>
      <c r="I45" s="45">
        <f t="shared" si="25"/>
        <v>0</v>
      </c>
      <c r="J45" s="45">
        <f t="shared" si="25"/>
        <v>0</v>
      </c>
      <c r="K45" s="45">
        <f t="shared" si="25"/>
        <v>0</v>
      </c>
      <c r="L45" s="45">
        <f t="shared" si="25"/>
        <v>0</v>
      </c>
      <c r="M45" s="45">
        <f t="shared" si="25"/>
        <v>0</v>
      </c>
      <c r="N45" s="45">
        <f>+N33</f>
        <v>0</v>
      </c>
      <c r="O45" s="63">
        <f>SUM(B45:N45)</f>
        <v>1979497.642275</v>
      </c>
      <c r="P45" s="43"/>
    </row>
    <row r="46" spans="1:18" x14ac:dyDescent="0.25">
      <c r="B46" s="26"/>
      <c r="C46" s="26"/>
      <c r="D46" s="26"/>
      <c r="E46" s="26"/>
      <c r="F46" s="26"/>
      <c r="O46" s="24"/>
    </row>
    <row r="47" spans="1:18" x14ac:dyDescent="0.25">
      <c r="A47" s="12" t="s">
        <v>21</v>
      </c>
      <c r="B47" s="28"/>
      <c r="C47" s="28"/>
      <c r="D47" s="28"/>
      <c r="E47" s="28"/>
      <c r="F47" s="28"/>
      <c r="G47" s="12"/>
      <c r="H47" s="12"/>
      <c r="I47" s="12"/>
      <c r="J47" s="12"/>
      <c r="K47" s="11"/>
      <c r="L47" s="11"/>
      <c r="M47" s="11"/>
      <c r="N47" s="11"/>
      <c r="O47" s="56"/>
      <c r="P47" s="11"/>
    </row>
    <row r="48" spans="1:18" x14ac:dyDescent="0.25">
      <c r="A48" s="13" t="s">
        <v>6</v>
      </c>
      <c r="B48" s="49">
        <f>+B44</f>
        <v>0</v>
      </c>
      <c r="C48" s="49">
        <f>+C44</f>
        <v>0</v>
      </c>
      <c r="D48" s="49">
        <f>+D44</f>
        <v>0</v>
      </c>
      <c r="E48" s="49">
        <f>+E44</f>
        <v>0</v>
      </c>
      <c r="F48" s="49">
        <f>+F44</f>
        <v>0</v>
      </c>
      <c r="G48" s="49">
        <f t="shared" ref="G48:M48" si="26">+G44</f>
        <v>3879.9216710000001</v>
      </c>
      <c r="H48" s="49">
        <f t="shared" si="26"/>
        <v>0</v>
      </c>
      <c r="I48" s="49">
        <f t="shared" si="26"/>
        <v>0</v>
      </c>
      <c r="J48" s="49">
        <f t="shared" si="26"/>
        <v>0</v>
      </c>
      <c r="K48" s="49">
        <f t="shared" si="26"/>
        <v>0</v>
      </c>
      <c r="L48" s="49">
        <f t="shared" si="26"/>
        <v>0</v>
      </c>
      <c r="M48" s="49">
        <f t="shared" si="26"/>
        <v>0</v>
      </c>
      <c r="N48" s="49">
        <f>+N44</f>
        <v>0</v>
      </c>
      <c r="O48" s="80"/>
      <c r="P48" s="44">
        <f>MAX(B48:N48)</f>
        <v>3879.9216710000001</v>
      </c>
    </row>
    <row r="49" spans="1:16" x14ac:dyDescent="0.25">
      <c r="A49" s="14" t="s">
        <v>18</v>
      </c>
      <c r="B49" s="14" t="e">
        <f t="shared" ref="B49:M49" si="27">+B44/B48</f>
        <v>#DIV/0!</v>
      </c>
      <c r="C49" s="14" t="e">
        <f>+C44/C48</f>
        <v>#DIV/0!</v>
      </c>
      <c r="D49" s="14" t="e">
        <f t="shared" si="27"/>
        <v>#DIV/0!</v>
      </c>
      <c r="E49" s="14" t="e">
        <f t="shared" si="27"/>
        <v>#DIV/0!</v>
      </c>
      <c r="F49" s="14" t="e">
        <f t="shared" si="27"/>
        <v>#DIV/0!</v>
      </c>
      <c r="G49" s="14">
        <f t="shared" si="27"/>
        <v>1</v>
      </c>
      <c r="H49" s="14" t="e">
        <f t="shared" si="27"/>
        <v>#DIV/0!</v>
      </c>
      <c r="I49" s="14" t="e">
        <f t="shared" si="27"/>
        <v>#DIV/0!</v>
      </c>
      <c r="J49" s="14" t="e">
        <f t="shared" si="27"/>
        <v>#DIV/0!</v>
      </c>
      <c r="K49" s="14" t="e">
        <f t="shared" si="27"/>
        <v>#DIV/0!</v>
      </c>
      <c r="L49" s="14" t="e">
        <f t="shared" si="27"/>
        <v>#DIV/0!</v>
      </c>
      <c r="M49" s="14" t="e">
        <f t="shared" si="27"/>
        <v>#DIV/0!</v>
      </c>
      <c r="N49" s="14" t="e">
        <f>+N44/N48</f>
        <v>#DIV/0!</v>
      </c>
      <c r="O49" s="61"/>
      <c r="P49" s="14">
        <f>+P44/P48</f>
        <v>1</v>
      </c>
    </row>
    <row r="50" spans="1:16" x14ac:dyDescent="0.25">
      <c r="A50" s="33"/>
      <c r="B50" s="33"/>
      <c r="C50" s="33"/>
      <c r="D50" s="33"/>
      <c r="E50" s="33"/>
      <c r="F50" s="33"/>
      <c r="G50" s="33"/>
      <c r="H50" s="33"/>
      <c r="I50" s="33"/>
      <c r="J50" s="33"/>
      <c r="K50" s="33"/>
      <c r="L50" s="33"/>
      <c r="M50" s="33"/>
      <c r="N50" s="33"/>
      <c r="O50" s="64"/>
      <c r="P50" s="33"/>
    </row>
    <row r="51" spans="1:16" x14ac:dyDescent="0.25">
      <c r="A51" s="33"/>
      <c r="B51" s="33"/>
      <c r="C51" s="33"/>
      <c r="D51" s="33"/>
      <c r="E51" s="33"/>
      <c r="F51" s="61" t="s">
        <v>160</v>
      </c>
      <c r="G51" s="145">
        <f>P13+P20</f>
        <v>3872.7366929999998</v>
      </c>
      <c r="H51" s="33"/>
      <c r="I51" s="33"/>
      <c r="J51" s="33"/>
      <c r="K51" s="33"/>
      <c r="L51" s="33"/>
      <c r="M51" s="33"/>
      <c r="N51" s="33"/>
      <c r="O51" s="48"/>
      <c r="P51" s="33"/>
    </row>
    <row r="52" spans="1:16" x14ac:dyDescent="0.25">
      <c r="A52" s="33"/>
      <c r="B52" s="33"/>
      <c r="C52" s="33"/>
      <c r="D52" s="33"/>
      <c r="E52" s="33"/>
      <c r="F52" s="61" t="s">
        <v>161</v>
      </c>
      <c r="G52" s="145">
        <f>P32</f>
        <v>3879.9216710000001</v>
      </c>
      <c r="H52" s="33"/>
      <c r="I52" s="33"/>
      <c r="J52" s="33"/>
      <c r="K52" s="33"/>
      <c r="L52" s="33"/>
      <c r="M52" s="33"/>
      <c r="N52" s="33"/>
      <c r="O52" s="48"/>
      <c r="P52" s="33"/>
    </row>
    <row r="53" spans="1:16" x14ac:dyDescent="0.25">
      <c r="F53" s="146" t="s">
        <v>162</v>
      </c>
      <c r="G53" s="147">
        <f>G51/G52</f>
        <v>0.99814816416173979</v>
      </c>
    </row>
  </sheetData>
  <mergeCells count="21">
    <mergeCell ref="A9:A10"/>
    <mergeCell ref="B9:B10"/>
    <mergeCell ref="D9:D10"/>
    <mergeCell ref="E9:E10"/>
    <mergeCell ref="F9:F10"/>
    <mergeCell ref="C9:C10"/>
    <mergeCell ref="E2:M2"/>
    <mergeCell ref="E3:M3"/>
    <mergeCell ref="E4:M4"/>
    <mergeCell ref="E5:M5"/>
    <mergeCell ref="E6:M6"/>
    <mergeCell ref="N9:N10"/>
    <mergeCell ref="O9:O10"/>
    <mergeCell ref="P9:P10"/>
    <mergeCell ref="G9:G10"/>
    <mergeCell ref="H9:H10"/>
    <mergeCell ref="I9:I10"/>
    <mergeCell ref="J9:J10"/>
    <mergeCell ref="L9:L10"/>
    <mergeCell ref="M9:M10"/>
    <mergeCell ref="K9:K10"/>
  </mergeCells>
  <printOptions horizontalCentered="1" verticalCentered="1"/>
  <pageMargins left="0.70866141732283472" right="0.70866141732283472" top="0.74803149606299213" bottom="0.74803149606299213" header="0.31496062992125984" footer="0.31496062992125984"/>
  <pageSetup scale="65" orientation="landscape" r:id="rId1"/>
  <drawing r:id="rId2"/>
  <legacy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theme="8" tint="0.59999389629810485"/>
  </sheetPr>
  <dimension ref="A1:R53"/>
  <sheetViews>
    <sheetView zoomScale="130" zoomScaleNormal="130" workbookViewId="0">
      <selection activeCell="B36" sqref="B36:N36"/>
    </sheetView>
  </sheetViews>
  <sheetFormatPr baseColWidth="10" defaultRowHeight="13.2" x14ac:dyDescent="0.25"/>
  <cols>
    <col min="1" max="1" width="16.88671875" bestFit="1" customWidth="1"/>
    <col min="2" max="16" width="15.6640625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361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473</v>
      </c>
      <c r="B12" s="262"/>
      <c r="C12" s="262"/>
      <c r="D12" s="262"/>
      <c r="E12" s="262"/>
      <c r="F12" s="263"/>
      <c r="G12" s="264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7801.3666990000002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7801.3666990000002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4255200.815161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4255200.815161</v>
      </c>
      <c r="P14" s="43">
        <f>SUM(B14:N14)/(COUNTIF(B14:N14,"&gt;0"))</f>
        <v>4255200.815161</v>
      </c>
    </row>
    <row r="15" spans="1:16" x14ac:dyDescent="0.25">
      <c r="A15" s="3" t="s">
        <v>16</v>
      </c>
      <c r="B15" s="37" t="e">
        <f t="shared" ref="B15:N15" si="0">+((B13/B17)^2-(B13^2))^(0.5)</f>
        <v>#DIV/0!</v>
      </c>
      <c r="C15" s="37" t="e">
        <f>+((C13/C17)^2-(C13^2))^(0.5)</f>
        <v>#DIV/0!</v>
      </c>
      <c r="D15" s="37" t="e">
        <f t="shared" si="0"/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686.82014593851443</v>
      </c>
      <c r="H15" s="37" t="e">
        <f t="shared" si="0"/>
        <v>#DIV/0!</v>
      </c>
      <c r="I15" s="37" t="e">
        <f t="shared" si="0"/>
        <v>#DIV/0!</v>
      </c>
      <c r="J15" s="37" t="e">
        <f t="shared" si="0"/>
        <v>#DIV/0!</v>
      </c>
      <c r="K15" s="37" t="e">
        <f t="shared" si="0"/>
        <v>#DIV/0!</v>
      </c>
      <c r="L15" s="37" t="e">
        <f t="shared" si="0"/>
        <v>#DIV/0!</v>
      </c>
      <c r="M15" s="37" t="e">
        <f t="shared" si="0"/>
        <v>#DIV/0!</v>
      </c>
      <c r="N15" s="37" t="e">
        <f t="shared" si="0"/>
        <v>#DIV/0!</v>
      </c>
      <c r="O15" s="37"/>
      <c r="P15" s="4">
        <f>HLOOKUP(P13,B13:N15,3,FALSE)</f>
        <v>686.82014593851443</v>
      </c>
    </row>
    <row r="16" spans="1:16" x14ac:dyDescent="0.25">
      <c r="A16" s="3" t="s">
        <v>8</v>
      </c>
      <c r="B16" s="37">
        <f t="shared" ref="B16:N16" si="1">+B14/(24*B$8)</f>
        <v>0</v>
      </c>
      <c r="C16" s="37">
        <f>+C14/(24*C$8)</f>
        <v>0</v>
      </c>
      <c r="D16" s="37">
        <f t="shared" si="1"/>
        <v>0</v>
      </c>
      <c r="E16" s="37">
        <f t="shared" si="1"/>
        <v>0</v>
      </c>
      <c r="F16" s="37">
        <f t="shared" si="1"/>
        <v>0</v>
      </c>
      <c r="G16" s="37">
        <f t="shared" si="1"/>
        <v>5719.3559343561828</v>
      </c>
      <c r="H16" s="37">
        <f t="shared" si="1"/>
        <v>0</v>
      </c>
      <c r="I16" s="37">
        <f t="shared" si="1"/>
        <v>0</v>
      </c>
      <c r="J16" s="37">
        <f t="shared" si="1"/>
        <v>0</v>
      </c>
      <c r="K16" s="37">
        <f t="shared" si="1"/>
        <v>0</v>
      </c>
      <c r="L16" s="37">
        <f t="shared" si="1"/>
        <v>0</v>
      </c>
      <c r="M16" s="37">
        <f t="shared" si="1"/>
        <v>0</v>
      </c>
      <c r="N16" s="37">
        <f t="shared" si="1"/>
        <v>0</v>
      </c>
      <c r="O16" s="6">
        <f>SUM(O14)/(24*O$8)</f>
        <v>485.75351771244294</v>
      </c>
      <c r="P16" s="4">
        <f>O14/(COUNTIF(B14:N14,"&gt;0")*720)</f>
        <v>5910.0011321680558</v>
      </c>
    </row>
    <row r="17" spans="1:17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0.996147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0.996147</v>
      </c>
    </row>
    <row r="18" spans="1:17" x14ac:dyDescent="0.25">
      <c r="A18" s="3" t="s">
        <v>17</v>
      </c>
      <c r="B18" s="37" t="e">
        <f t="shared" ref="B18:I18" si="2">+B16/B13</f>
        <v>#DIV/0!</v>
      </c>
      <c r="C18" s="37" t="e">
        <f>+C16/C13</f>
        <v>#DIV/0!</v>
      </c>
      <c r="D18" s="37" t="e">
        <f t="shared" si="2"/>
        <v>#DIV/0!</v>
      </c>
      <c r="E18" s="37" t="e">
        <f t="shared" si="2"/>
        <v>#DIV/0!</v>
      </c>
      <c r="F18" s="37" t="e">
        <f t="shared" si="2"/>
        <v>#DIV/0!</v>
      </c>
      <c r="G18" s="37">
        <f t="shared" si="2"/>
        <v>0.7331223047224924</v>
      </c>
      <c r="H18" s="37" t="e">
        <f t="shared" si="2"/>
        <v>#DIV/0!</v>
      </c>
      <c r="I18" s="37" t="e">
        <f t="shared" si="2"/>
        <v>#DIV/0!</v>
      </c>
      <c r="J18" s="37" t="e">
        <f>+J16/J13</f>
        <v>#DIV/0!</v>
      </c>
      <c r="K18" s="37" t="e">
        <f>+K16/K13</f>
        <v>#DIV/0!</v>
      </c>
      <c r="L18" s="37" t="e">
        <f>+L16/L13</f>
        <v>#DIV/0!</v>
      </c>
      <c r="M18" s="37" t="e">
        <f>+M16/M13</f>
        <v>#DIV/0!</v>
      </c>
      <c r="N18" s="37" t="e">
        <f>+N16/N13</f>
        <v>#DIV/0!</v>
      </c>
      <c r="O18" s="6"/>
      <c r="P18" s="4">
        <f>+P16/P13</f>
        <v>0.75755971487990881</v>
      </c>
    </row>
    <row r="19" spans="1:17" s="24" customFormat="1" x14ac:dyDescent="0.25">
      <c r="A19" s="271" t="s">
        <v>333</v>
      </c>
      <c r="B19" s="65"/>
      <c r="C19" s="65"/>
      <c r="D19" s="65"/>
      <c r="E19" s="65"/>
      <c r="F19" s="65"/>
      <c r="G19" s="66"/>
      <c r="H19" s="66"/>
      <c r="I19" s="66"/>
      <c r="J19" s="66"/>
      <c r="K19" s="50"/>
      <c r="L19" s="50"/>
      <c r="M19" s="50"/>
      <c r="N19" s="50"/>
      <c r="O19" s="50"/>
      <c r="P19" s="50"/>
    </row>
    <row r="20" spans="1:17" x14ac:dyDescent="0.25">
      <c r="A20" s="3" t="s">
        <v>6</v>
      </c>
      <c r="B20" s="380" t="e">
        <f>VLOOKUP($A$19,TABLA_1[],5,FALSE)</f>
        <v>#N/A</v>
      </c>
      <c r="C20" s="380" t="e">
        <f>VLOOKUP($A$19,TABLA_2[],5,FALSE)</f>
        <v>#N/A</v>
      </c>
      <c r="D20" s="380" t="e">
        <f>VLOOKUP($A$19,TABLA_3[],5,FALSE)</f>
        <v>#N/A</v>
      </c>
      <c r="E20" s="380" t="e">
        <f>VLOOKUP($A$19,TABLA_4[],5,FALSE)</f>
        <v>#N/A</v>
      </c>
      <c r="F20" s="380" t="e">
        <f>VLOOKUP($A$19,TABLA_5[],5,FALSE)</f>
        <v>#N/A</v>
      </c>
      <c r="G20" s="380" t="e">
        <f>VLOOKUP($A$19,TABLA_6[],5,FALSE)</f>
        <v>#N/A</v>
      </c>
      <c r="H20" s="380" t="e">
        <f>VLOOKUP($A$19,TABLA_7[],5,FALSE)</f>
        <v>#N/A</v>
      </c>
      <c r="I20" s="380" t="e">
        <f>VLOOKUP($A$19,TABLA_8[],5,FALSE)</f>
        <v>#N/A</v>
      </c>
      <c r="J20" s="380" t="e">
        <f>VLOOKUP($A$19,TABLA_9[],5,FALSE)</f>
        <v>#N/A</v>
      </c>
      <c r="K20" s="380" t="e">
        <f>VLOOKUP($A$19,TABLA_10[],5,FALSE)</f>
        <v>#N/A</v>
      </c>
      <c r="L20" s="380" t="e">
        <f>VLOOKUP($A$19,TABLA_11[],5,FALSE)</f>
        <v>#N/A</v>
      </c>
      <c r="M20" s="380" t="e">
        <f>VLOOKUP($A$19,TABLA_12[],5,FALSE)</f>
        <v>#N/A</v>
      </c>
      <c r="N20" s="380" t="e">
        <f>VLOOKUP($A$19,TABLA_13[],5,FALSE)</f>
        <v>#N/A</v>
      </c>
      <c r="O20" s="6"/>
      <c r="P20" s="43" t="e">
        <f>MAX(B20:N20)</f>
        <v>#N/A</v>
      </c>
    </row>
    <row r="21" spans="1:17" x14ac:dyDescent="0.25">
      <c r="A21" s="3" t="s">
        <v>7</v>
      </c>
      <c r="B21" s="380" t="e">
        <f>VLOOKUP($A$19,TABLA_1[],8,FALSE)</f>
        <v>#N/A</v>
      </c>
      <c r="C21" s="380" t="e">
        <f>VLOOKUP($A$19,TABLA_2[],8,FALSE)</f>
        <v>#N/A</v>
      </c>
      <c r="D21" s="380" t="e">
        <f>VLOOKUP($A$19,TABLA_3[],8,FALSE)</f>
        <v>#N/A</v>
      </c>
      <c r="E21" s="380" t="e">
        <f>VLOOKUP($A$19,TABLA_4[],8,FALSE)</f>
        <v>#N/A</v>
      </c>
      <c r="F21" s="380" t="e">
        <f>VLOOKUP($A$19,TABLA_5[],8,FALSE)</f>
        <v>#N/A</v>
      </c>
      <c r="G21" s="380" t="e">
        <f>VLOOKUP($A$19,TABLA_6[],8,FALSE)</f>
        <v>#N/A</v>
      </c>
      <c r="H21" s="380" t="e">
        <f>VLOOKUP($A$19,TABLA_7[],8,FALSE)</f>
        <v>#N/A</v>
      </c>
      <c r="I21" s="380" t="e">
        <f>VLOOKUP($A$19,TABLA_8[],8,FALSE)</f>
        <v>#N/A</v>
      </c>
      <c r="J21" s="380" t="e">
        <f>VLOOKUP($A$19,TABLA_9[],8,FALSE)</f>
        <v>#N/A</v>
      </c>
      <c r="K21" s="380" t="e">
        <f>VLOOKUP($A$19,TABLA_10[],8,FALSE)</f>
        <v>#N/A</v>
      </c>
      <c r="L21" s="380" t="e">
        <f>VLOOKUP($A$19,TABLA_11[],8,FALSE)</f>
        <v>#N/A</v>
      </c>
      <c r="M21" s="380" t="e">
        <f>VLOOKUP($A$19,TABLA_12[],8,FALSE)</f>
        <v>#N/A</v>
      </c>
      <c r="N21" s="380" t="e">
        <f>VLOOKUP($A$19,TABLA_13[],8,FALSE)</f>
        <v>#N/A</v>
      </c>
      <c r="O21" s="47" t="e">
        <f>SUM(B21:N21)</f>
        <v>#N/A</v>
      </c>
      <c r="P21" s="43" t="e">
        <f>SUM(B21:N21)/(COUNTIF(B21:N21,"&gt;0"))</f>
        <v>#N/A</v>
      </c>
    </row>
    <row r="22" spans="1:17" x14ac:dyDescent="0.25">
      <c r="A22" s="3" t="s">
        <v>16</v>
      </c>
      <c r="B22" s="37" t="e">
        <f>+((B20/B24)^2-(B20^2))^(0.5)</f>
        <v>#N/A</v>
      </c>
      <c r="C22" s="37" t="e">
        <f>+((C20/C24)^2-(C20^2))^(0.5)</f>
        <v>#N/A</v>
      </c>
      <c r="D22" s="37" t="e">
        <f t="shared" ref="D22:N22" si="3">+((D20/D24)^2-(D20^2))^(0.5)</f>
        <v>#N/A</v>
      </c>
      <c r="E22" s="37" t="e">
        <f t="shared" si="3"/>
        <v>#N/A</v>
      </c>
      <c r="F22" s="37" t="e">
        <f t="shared" si="3"/>
        <v>#N/A</v>
      </c>
      <c r="G22" s="37" t="e">
        <f t="shared" si="3"/>
        <v>#N/A</v>
      </c>
      <c r="H22" s="37" t="e">
        <f t="shared" si="3"/>
        <v>#N/A</v>
      </c>
      <c r="I22" s="37" t="e">
        <f t="shared" si="3"/>
        <v>#N/A</v>
      </c>
      <c r="J22" s="37" t="e">
        <f t="shared" si="3"/>
        <v>#N/A</v>
      </c>
      <c r="K22" s="37" t="e">
        <f t="shared" si="3"/>
        <v>#N/A</v>
      </c>
      <c r="L22" s="37" t="e">
        <f t="shared" si="3"/>
        <v>#N/A</v>
      </c>
      <c r="M22" s="37" t="e">
        <f t="shared" si="3"/>
        <v>#N/A</v>
      </c>
      <c r="N22" s="37" t="e">
        <f t="shared" si="3"/>
        <v>#N/A</v>
      </c>
      <c r="O22" s="37"/>
      <c r="P22" s="4" t="e">
        <f>HLOOKUP(P20,B20:N22,3,FALSE)</f>
        <v>#N/A</v>
      </c>
    </row>
    <row r="23" spans="1:17" x14ac:dyDescent="0.25">
      <c r="A23" s="3" t="s">
        <v>8</v>
      </c>
      <c r="B23" s="37" t="e">
        <f t="shared" ref="B23:N23" si="4">+B21/(24*B$8)</f>
        <v>#N/A</v>
      </c>
      <c r="C23" s="37" t="e">
        <f>+C21/(24*C$8)</f>
        <v>#N/A</v>
      </c>
      <c r="D23" s="37" t="e">
        <f t="shared" si="4"/>
        <v>#N/A</v>
      </c>
      <c r="E23" s="37" t="e">
        <f t="shared" si="4"/>
        <v>#N/A</v>
      </c>
      <c r="F23" s="37" t="e">
        <f t="shared" si="4"/>
        <v>#N/A</v>
      </c>
      <c r="G23" s="37" t="e">
        <f t="shared" si="4"/>
        <v>#N/A</v>
      </c>
      <c r="H23" s="37" t="e">
        <f t="shared" si="4"/>
        <v>#N/A</v>
      </c>
      <c r="I23" s="37" t="e">
        <f t="shared" si="4"/>
        <v>#N/A</v>
      </c>
      <c r="J23" s="37" t="e">
        <f t="shared" si="4"/>
        <v>#N/A</v>
      </c>
      <c r="K23" s="37" t="e">
        <f t="shared" si="4"/>
        <v>#N/A</v>
      </c>
      <c r="L23" s="37" t="e">
        <f t="shared" si="4"/>
        <v>#N/A</v>
      </c>
      <c r="M23" s="37" t="e">
        <f t="shared" si="4"/>
        <v>#N/A</v>
      </c>
      <c r="N23" s="37" t="e">
        <f t="shared" si="4"/>
        <v>#N/A</v>
      </c>
      <c r="O23" s="6" t="e">
        <f>SUM(O21)/(24*O$8)</f>
        <v>#N/A</v>
      </c>
      <c r="P23" s="4" t="e">
        <f>O21/(COUNTIF(B21:N21,"&gt;0")*720)</f>
        <v>#N/A</v>
      </c>
    </row>
    <row r="24" spans="1:17" x14ac:dyDescent="0.25">
      <c r="A24" s="3" t="s">
        <v>9</v>
      </c>
      <c r="B24" s="380" t="e">
        <f>VLOOKUP($A$19,TABLA_1[],10,FALSE)</f>
        <v>#N/A</v>
      </c>
      <c r="C24" s="380" t="e">
        <f>VLOOKUP($A$19,TABLA_2[],10,FALSE)</f>
        <v>#N/A</v>
      </c>
      <c r="D24" s="380" t="e">
        <f>VLOOKUP($A$19,TABLA_3[],10,FALSE)</f>
        <v>#N/A</v>
      </c>
      <c r="E24" s="380" t="e">
        <f>VLOOKUP($A$19,TABLA_4[],10,FALSE)</f>
        <v>#N/A</v>
      </c>
      <c r="F24" s="380" t="e">
        <f>VLOOKUP($A$19,TABLA_5[],10,FALSE)</f>
        <v>#N/A</v>
      </c>
      <c r="G24" s="380" t="e">
        <f>VLOOKUP($A$19,TABLA_6[],10,FALSE)</f>
        <v>#N/A</v>
      </c>
      <c r="H24" s="380" t="e">
        <f>VLOOKUP($A$19,TABLA_7[],10,FALSE)</f>
        <v>#N/A</v>
      </c>
      <c r="I24" s="380" t="e">
        <f>VLOOKUP($A$19,TABLA_8[],10,FALSE)</f>
        <v>#N/A</v>
      </c>
      <c r="J24" s="380" t="e">
        <f>VLOOKUP($A$19,TABLA_9[],10,FALSE)</f>
        <v>#N/A</v>
      </c>
      <c r="K24" s="380" t="e">
        <f>VLOOKUP($A$19,TABLA_10[],10,FALSE)</f>
        <v>#N/A</v>
      </c>
      <c r="L24" s="380" t="e">
        <f>VLOOKUP($A$19,TABLA_11[],10,FALSE)</f>
        <v>#N/A</v>
      </c>
      <c r="M24" s="380" t="e">
        <f>VLOOKUP($A$19,TABLA_12[],10,FALSE)</f>
        <v>#N/A</v>
      </c>
      <c r="N24" s="380" t="e">
        <f>VLOOKUP($A$19,TABLA_13[],10,FALSE)</f>
        <v>#N/A</v>
      </c>
      <c r="O24" s="6"/>
      <c r="P24" s="4" t="e">
        <f>COS(ATAN(P22/P20))</f>
        <v>#N/A</v>
      </c>
    </row>
    <row r="25" spans="1:17" x14ac:dyDescent="0.25">
      <c r="A25" s="3" t="s">
        <v>17</v>
      </c>
      <c r="B25" s="37" t="e">
        <f t="shared" ref="B25:N25" si="5">+B23/B20</f>
        <v>#N/A</v>
      </c>
      <c r="C25" s="37" t="e">
        <f>+C23/C20</f>
        <v>#N/A</v>
      </c>
      <c r="D25" s="37" t="e">
        <f t="shared" si="5"/>
        <v>#N/A</v>
      </c>
      <c r="E25" s="37" t="e">
        <f t="shared" si="5"/>
        <v>#N/A</v>
      </c>
      <c r="F25" s="37" t="e">
        <f t="shared" si="5"/>
        <v>#N/A</v>
      </c>
      <c r="G25" s="37" t="e">
        <f t="shared" si="5"/>
        <v>#N/A</v>
      </c>
      <c r="H25" s="37" t="e">
        <f t="shared" si="5"/>
        <v>#N/A</v>
      </c>
      <c r="I25" s="37" t="e">
        <f t="shared" si="5"/>
        <v>#N/A</v>
      </c>
      <c r="J25" s="37" t="e">
        <f t="shared" si="5"/>
        <v>#N/A</v>
      </c>
      <c r="K25" s="37" t="e">
        <f t="shared" si="5"/>
        <v>#N/A</v>
      </c>
      <c r="L25" s="37" t="e">
        <f t="shared" si="5"/>
        <v>#N/A</v>
      </c>
      <c r="M25" s="37" t="e">
        <f t="shared" si="5"/>
        <v>#N/A</v>
      </c>
      <c r="N25" s="37" t="e">
        <f t="shared" si="5"/>
        <v>#N/A</v>
      </c>
      <c r="O25" s="6"/>
      <c r="P25" s="4" t="e">
        <f>+P23/P20</f>
        <v>#N/A</v>
      </c>
    </row>
    <row r="26" spans="1:17" x14ac:dyDescent="0.25">
      <c r="A26" s="90"/>
      <c r="B26" s="77"/>
      <c r="C26" s="77"/>
      <c r="D26" s="77"/>
      <c r="E26" s="77"/>
      <c r="F26" s="77"/>
      <c r="G26" s="77"/>
      <c r="H26" s="77"/>
      <c r="I26" s="77"/>
      <c r="J26" s="77"/>
      <c r="K26" s="77"/>
      <c r="L26" s="77"/>
      <c r="M26" s="77"/>
      <c r="N26" s="77"/>
      <c r="O26" s="77"/>
      <c r="P26" s="77"/>
    </row>
    <row r="27" spans="1:17" x14ac:dyDescent="0.25">
      <c r="A27" s="90"/>
      <c r="B27" s="77"/>
      <c r="C27" s="77"/>
      <c r="D27" s="77"/>
      <c r="E27" s="77"/>
      <c r="F27" s="77"/>
      <c r="G27" s="77"/>
      <c r="H27" s="77"/>
      <c r="I27" s="77"/>
      <c r="J27" s="77"/>
      <c r="K27" s="77"/>
      <c r="L27" s="77"/>
      <c r="M27" s="77"/>
      <c r="N27" s="77"/>
      <c r="O27" s="77"/>
      <c r="P27" s="77"/>
    </row>
    <row r="28" spans="1:17" x14ac:dyDescent="0.25">
      <c r="A28" s="7" t="s">
        <v>10</v>
      </c>
      <c r="B28" s="72"/>
      <c r="C28" s="72"/>
      <c r="D28" s="72"/>
      <c r="E28" s="72"/>
      <c r="F28" s="72"/>
      <c r="G28" s="73"/>
      <c r="H28" s="73"/>
      <c r="I28" s="73"/>
      <c r="J28" s="73"/>
      <c r="K28" s="73"/>
      <c r="L28" s="53"/>
      <c r="M28" s="53"/>
      <c r="N28" s="53"/>
      <c r="O28" s="53"/>
      <c r="P28" s="8"/>
    </row>
    <row r="29" spans="1:17" x14ac:dyDescent="0.25">
      <c r="A29" s="9" t="s">
        <v>11</v>
      </c>
      <c r="B29" s="62" t="e">
        <f>+B13+B20</f>
        <v>#N/A</v>
      </c>
      <c r="C29" s="62" t="e">
        <f>+C13+C20</f>
        <v>#N/A</v>
      </c>
      <c r="D29" s="62" t="e">
        <f t="shared" ref="D29:N30" si="6">+D13+D20</f>
        <v>#N/A</v>
      </c>
      <c r="E29" s="62" t="e">
        <f t="shared" si="6"/>
        <v>#N/A</v>
      </c>
      <c r="F29" s="62" t="e">
        <f t="shared" si="6"/>
        <v>#N/A</v>
      </c>
      <c r="G29" s="62" t="e">
        <f t="shared" si="6"/>
        <v>#N/A</v>
      </c>
      <c r="H29" s="62" t="e">
        <f t="shared" si="6"/>
        <v>#N/A</v>
      </c>
      <c r="I29" s="62" t="e">
        <f t="shared" si="6"/>
        <v>#N/A</v>
      </c>
      <c r="J29" s="62" t="e">
        <f t="shared" si="6"/>
        <v>#N/A</v>
      </c>
      <c r="K29" s="62" t="e">
        <f t="shared" si="6"/>
        <v>#N/A</v>
      </c>
      <c r="L29" s="62" t="e">
        <f t="shared" si="6"/>
        <v>#N/A</v>
      </c>
      <c r="M29" s="62" t="e">
        <f t="shared" si="6"/>
        <v>#N/A</v>
      </c>
      <c r="N29" s="62" t="e">
        <f t="shared" si="6"/>
        <v>#N/A</v>
      </c>
      <c r="O29" s="62"/>
      <c r="P29" s="42" t="e">
        <f>MAX(B29:N29)</f>
        <v>#N/A</v>
      </c>
    </row>
    <row r="30" spans="1:17" x14ac:dyDescent="0.25">
      <c r="A30" s="9" t="s">
        <v>7</v>
      </c>
      <c r="B30" s="62" t="e">
        <f>+B14+B21</f>
        <v>#N/A</v>
      </c>
      <c r="C30" s="62" t="e">
        <f>+C14+C21</f>
        <v>#N/A</v>
      </c>
      <c r="D30" s="62" t="e">
        <f t="shared" si="6"/>
        <v>#N/A</v>
      </c>
      <c r="E30" s="62" t="e">
        <f t="shared" si="6"/>
        <v>#N/A</v>
      </c>
      <c r="F30" s="62" t="e">
        <f t="shared" si="6"/>
        <v>#N/A</v>
      </c>
      <c r="G30" s="62" t="e">
        <f t="shared" si="6"/>
        <v>#N/A</v>
      </c>
      <c r="H30" s="62" t="e">
        <f t="shared" si="6"/>
        <v>#N/A</v>
      </c>
      <c r="I30" s="62" t="e">
        <f t="shared" si="6"/>
        <v>#N/A</v>
      </c>
      <c r="J30" s="62" t="e">
        <f t="shared" si="6"/>
        <v>#N/A</v>
      </c>
      <c r="K30" s="62" t="e">
        <f t="shared" si="6"/>
        <v>#N/A</v>
      </c>
      <c r="L30" s="62" t="e">
        <f t="shared" si="6"/>
        <v>#N/A</v>
      </c>
      <c r="M30" s="62" t="e">
        <f t="shared" si="6"/>
        <v>#N/A</v>
      </c>
      <c r="N30" s="62" t="e">
        <f t="shared" si="6"/>
        <v>#N/A</v>
      </c>
      <c r="O30" s="62" t="e">
        <f>SUM(B30:N30)</f>
        <v>#N/A</v>
      </c>
      <c r="P30" s="42"/>
    </row>
    <row r="31" spans="1:17" s="24" customFormat="1" x14ac:dyDescent="0.25">
      <c r="A31" s="272" t="s">
        <v>12</v>
      </c>
      <c r="B31" s="376" t="s">
        <v>501</v>
      </c>
      <c r="C31" s="47"/>
      <c r="D31" s="47"/>
      <c r="E31" s="47"/>
      <c r="F31" s="47"/>
      <c r="G31" s="47"/>
      <c r="H31" s="47"/>
      <c r="I31" s="47"/>
      <c r="J31" s="47"/>
      <c r="K31" s="47"/>
      <c r="L31" s="47"/>
      <c r="M31" s="47"/>
      <c r="N31" s="47"/>
      <c r="O31" s="36"/>
      <c r="P31" s="36"/>
    </row>
    <row r="32" spans="1:17" x14ac:dyDescent="0.25">
      <c r="A32" s="3" t="s">
        <v>6</v>
      </c>
      <c r="B32" s="385">
        <f>VLOOKUP($B$31,BancoTabla_1[],5,FALSE)</f>
        <v>0</v>
      </c>
      <c r="C32" s="385">
        <f>VLOOKUP($B$31,BancoTabla_2[],5,FALSE)</f>
        <v>0</v>
      </c>
      <c r="D32" s="385">
        <f>VLOOKUP($B$31,BancoTabla_3[],5,FALSE)</f>
        <v>0</v>
      </c>
      <c r="E32" s="385">
        <f>VLOOKUP($B$31,BancoTabla_4[],5,FALSE)</f>
        <v>0</v>
      </c>
      <c r="F32" s="385">
        <f>VLOOKUP($B$31,BancoTabla_5[],5,FALSE)</f>
        <v>0</v>
      </c>
      <c r="G32" s="385">
        <f>VLOOKUP($B$31,BancoTabla_6[],5,FALSE)</f>
        <v>8567.9300129999992</v>
      </c>
      <c r="H32" s="385">
        <f>VLOOKUP($B$31,BancoTabla_7[],5,FALSE)</f>
        <v>0</v>
      </c>
      <c r="I32" s="385">
        <f>VLOOKUP($B$31,BancoTabla_8[],5,FALSE)</f>
        <v>0</v>
      </c>
      <c r="J32" s="385">
        <f>VLOOKUP($B$31,BancoTabla_9[],5,FALSE)</f>
        <v>0</v>
      </c>
      <c r="K32" s="385">
        <f>VLOOKUP($B$31,BancoTabla_10[],5,FALSE)</f>
        <v>0</v>
      </c>
      <c r="L32" s="385">
        <f>VLOOKUP($B$31,BancoTabla_11[],5,FALSE)</f>
        <v>0</v>
      </c>
      <c r="M32" s="385">
        <f>VLOOKUP($B$31,BancoTabla_12[],5,FALSE)</f>
        <v>0</v>
      </c>
      <c r="N32" s="385">
        <f>VLOOKUP($B$31,BancoTabla_13[],5,FALSE)</f>
        <v>0</v>
      </c>
      <c r="O32" s="79"/>
      <c r="P32" s="43">
        <f>MAX(B32:N32)</f>
        <v>8567.9300129999992</v>
      </c>
      <c r="Q32" s="334">
        <f>P32/1000</f>
        <v>8.5679300129999998</v>
      </c>
    </row>
    <row r="33" spans="1:18" x14ac:dyDescent="0.25">
      <c r="A33" s="3" t="s">
        <v>7</v>
      </c>
      <c r="B33" s="380">
        <f>VLOOKUP($B$31,BancoTabla_1[],8,FALSE)</f>
        <v>0</v>
      </c>
      <c r="C33" s="380">
        <f>VLOOKUP($B$31,BancoTabla_2[],8,FALSE)</f>
        <v>0</v>
      </c>
      <c r="D33" s="380">
        <f>VLOOKUP($B$31,BancoTabla_3[],8,FALSE)</f>
        <v>0</v>
      </c>
      <c r="E33" s="380">
        <f>VLOOKUP($B$31,BancoTabla_4[],8,FALSE)</f>
        <v>0</v>
      </c>
      <c r="F33" s="380">
        <f>VLOOKUP($B$31,BancoTabla_5[],8,FALSE)</f>
        <v>0</v>
      </c>
      <c r="G33" s="380">
        <f>VLOOKUP($B$31,BancoTabla_6[],8,FALSE)</f>
        <v>4895372.6066699997</v>
      </c>
      <c r="H33" s="380">
        <f>VLOOKUP($B$31,BancoTabla_7[],8,FALSE)</f>
        <v>0</v>
      </c>
      <c r="I33" s="380">
        <f>VLOOKUP($B$31,BancoTabla_8[],8,FALSE)</f>
        <v>0</v>
      </c>
      <c r="J33" s="380">
        <f>VLOOKUP($B$31,BancoTabla_9[],8,FALSE)</f>
        <v>0</v>
      </c>
      <c r="K33" s="380">
        <f>VLOOKUP($B$31,BancoTabla_10[],8,FALSE)</f>
        <v>0</v>
      </c>
      <c r="L33" s="380">
        <f>VLOOKUP($B$31,BancoTabla_11[],8,FALSE)</f>
        <v>0</v>
      </c>
      <c r="M33" s="380">
        <f>VLOOKUP($B$31,BancoTabla_12[],8,FALSE)</f>
        <v>0</v>
      </c>
      <c r="N33" s="380">
        <f>VLOOKUP($B$31,BancoTabla_13[],8,FALSE)</f>
        <v>0</v>
      </c>
      <c r="O33" s="47">
        <f>SUM(B33:N33)</f>
        <v>4895372.6066699997</v>
      </c>
      <c r="P33" s="4">
        <f>SUM(B33:N33)/(COUNTIF(B33:N33,"&gt;0"))</f>
        <v>4895372.6066699997</v>
      </c>
      <c r="R33" s="39"/>
    </row>
    <row r="34" spans="1:18" x14ac:dyDescent="0.25">
      <c r="A34" s="3" t="s">
        <v>16</v>
      </c>
      <c r="B34" s="37" t="e">
        <f>+((B32/B36)^2-(B32^2))^(0.5)</f>
        <v>#DIV/0!</v>
      </c>
      <c r="C34" s="37" t="e">
        <f>+((C32/C36)^2-(C32^2))^(0.5)</f>
        <v>#DIV/0!</v>
      </c>
      <c r="D34" s="37" t="e">
        <f t="shared" ref="D34:M34" si="7">+((D32/D36)^2-(D32^2))^(0.5)</f>
        <v>#DIV/0!</v>
      </c>
      <c r="E34" s="37" t="e">
        <f t="shared" si="7"/>
        <v>#DIV/0!</v>
      </c>
      <c r="F34" s="37" t="e">
        <f t="shared" si="7"/>
        <v>#DIV/0!</v>
      </c>
      <c r="G34" s="37">
        <f t="shared" si="7"/>
        <v>1214.9011232283344</v>
      </c>
      <c r="H34" s="37" t="e">
        <f t="shared" si="7"/>
        <v>#DIV/0!</v>
      </c>
      <c r="I34" s="37" t="e">
        <f t="shared" si="7"/>
        <v>#DIV/0!</v>
      </c>
      <c r="J34" s="37" t="e">
        <f t="shared" si="7"/>
        <v>#DIV/0!</v>
      </c>
      <c r="K34" s="37" t="e">
        <f t="shared" si="7"/>
        <v>#DIV/0!</v>
      </c>
      <c r="L34" s="37" t="e">
        <f t="shared" si="7"/>
        <v>#DIV/0!</v>
      </c>
      <c r="M34" s="37" t="e">
        <f t="shared" si="7"/>
        <v>#DIV/0!</v>
      </c>
      <c r="N34" s="37" t="e">
        <f>+((N32/N36)^2-(N32^2))^(0.5)</f>
        <v>#DIV/0!</v>
      </c>
      <c r="O34" s="37"/>
      <c r="P34" s="4">
        <f>HLOOKUP(P32,B32:N34,3,FALSE)</f>
        <v>1214.9011232283344</v>
      </c>
    </row>
    <row r="35" spans="1:18" x14ac:dyDescent="0.25">
      <c r="A35" s="3" t="s">
        <v>8</v>
      </c>
      <c r="B35" s="37">
        <f t="shared" ref="B35:N35" si="8">+B33/(24*B$8)</f>
        <v>0</v>
      </c>
      <c r="C35" s="37">
        <f>+C33/(24*C$8)</f>
        <v>0</v>
      </c>
      <c r="D35" s="37">
        <f>+D33/(24*D$8)</f>
        <v>0</v>
      </c>
      <c r="E35" s="37">
        <f>+E33/(24*E$8)</f>
        <v>0</v>
      </c>
      <c r="F35" s="37">
        <f t="shared" si="8"/>
        <v>0</v>
      </c>
      <c r="G35" s="37">
        <f t="shared" si="8"/>
        <v>6579.8018906854832</v>
      </c>
      <c r="H35" s="37">
        <f t="shared" si="8"/>
        <v>0</v>
      </c>
      <c r="I35" s="37">
        <f t="shared" si="8"/>
        <v>0</v>
      </c>
      <c r="J35" s="37">
        <f t="shared" si="8"/>
        <v>0</v>
      </c>
      <c r="K35" s="37">
        <f t="shared" si="8"/>
        <v>0</v>
      </c>
      <c r="L35" s="37">
        <f t="shared" si="8"/>
        <v>0</v>
      </c>
      <c r="M35" s="37">
        <f t="shared" si="8"/>
        <v>0</v>
      </c>
      <c r="N35" s="37">
        <f t="shared" si="8"/>
        <v>0</v>
      </c>
      <c r="O35" s="6">
        <f>SUM(O33)/(24*O$8)</f>
        <v>558.83248934589039</v>
      </c>
      <c r="P35" s="4">
        <f>O33/(COUNTIF(B33:N33,"&gt;0")*720)</f>
        <v>6799.1286203749996</v>
      </c>
    </row>
    <row r="36" spans="1:18" x14ac:dyDescent="0.25">
      <c r="A36" s="3" t="s">
        <v>9</v>
      </c>
      <c r="B36" s="380">
        <f>VLOOKUP($B$31,BancoTabla_1[],10,FALSE)</f>
        <v>0</v>
      </c>
      <c r="C36" s="380">
        <f>VLOOKUP($B$31,BancoTabla_2[],10,FALSE)</f>
        <v>0</v>
      </c>
      <c r="D36" s="380">
        <f>VLOOKUP($B$31,BancoTabla_3[],10,FALSE)</f>
        <v>0</v>
      </c>
      <c r="E36" s="380">
        <f>VLOOKUP($B$31,BancoTabla_4[],10,FALSE)</f>
        <v>0</v>
      </c>
      <c r="F36" s="380">
        <f>VLOOKUP($B$31,BancoTabla_5[],10,FALSE)</f>
        <v>0</v>
      </c>
      <c r="G36" s="380">
        <f>VLOOKUP($B$31,BancoTabla_6[],10,FALSE)</f>
        <v>0.99009599999999998</v>
      </c>
      <c r="H36" s="380">
        <f>VLOOKUP($B$31,BancoTabla_7[],10,FALSE)</f>
        <v>0</v>
      </c>
      <c r="I36" s="380">
        <f>VLOOKUP($B$31,BancoTabla_8[],10,FALSE)</f>
        <v>0</v>
      </c>
      <c r="J36" s="380">
        <f>VLOOKUP($B$31,BancoTabla_9[],10,FALSE)</f>
        <v>0</v>
      </c>
      <c r="K36" s="380">
        <f>VLOOKUP($B$31,BancoTabla_10[],10,FALSE)</f>
        <v>0</v>
      </c>
      <c r="L36" s="380">
        <f>VLOOKUP($B$31,BancoTabla_11[],10,FALSE)</f>
        <v>0</v>
      </c>
      <c r="M36" s="380">
        <f>VLOOKUP($B$31,BancoTabla_12[],10,FALSE)</f>
        <v>0</v>
      </c>
      <c r="N36" s="380">
        <f>VLOOKUP($B$31,BancoTabla_13[],10,FALSE)</f>
        <v>0</v>
      </c>
      <c r="O36" s="6"/>
      <c r="P36" s="4">
        <f>COS(ATAN(P34/P32))</f>
        <v>0.99009599999999998</v>
      </c>
    </row>
    <row r="37" spans="1:18" x14ac:dyDescent="0.25">
      <c r="A37" s="3" t="s">
        <v>17</v>
      </c>
      <c r="B37" s="37" t="e">
        <f t="shared" ref="B37:N37" si="9">+B35/B32</f>
        <v>#DIV/0!</v>
      </c>
      <c r="C37" s="37" t="e">
        <f>+C35/C32</f>
        <v>#DIV/0!</v>
      </c>
      <c r="D37" s="37" t="e">
        <f>+D35/D32</f>
        <v>#DIV/0!</v>
      </c>
      <c r="E37" s="37" t="e">
        <f>+E35/E32</f>
        <v>#DIV/0!</v>
      </c>
      <c r="F37" s="37" t="e">
        <f t="shared" si="9"/>
        <v>#DIV/0!</v>
      </c>
      <c r="G37" s="37">
        <f t="shared" si="9"/>
        <v>0.76795700720034388</v>
      </c>
      <c r="H37" s="37" t="e">
        <f t="shared" si="9"/>
        <v>#DIV/0!</v>
      </c>
      <c r="I37" s="37" t="e">
        <f t="shared" si="9"/>
        <v>#DIV/0!</v>
      </c>
      <c r="J37" s="37" t="e">
        <f t="shared" si="9"/>
        <v>#DIV/0!</v>
      </c>
      <c r="K37" s="37" t="e">
        <f t="shared" si="9"/>
        <v>#DIV/0!</v>
      </c>
      <c r="L37" s="37" t="e">
        <f t="shared" si="9"/>
        <v>#DIV/0!</v>
      </c>
      <c r="M37" s="37" t="e">
        <f t="shared" si="9"/>
        <v>#DIV/0!</v>
      </c>
      <c r="N37" s="37" t="e">
        <f t="shared" si="9"/>
        <v>#DIV/0!</v>
      </c>
      <c r="O37" s="6"/>
      <c r="P37" s="4">
        <f>+P35/P32</f>
        <v>0.79355557410702204</v>
      </c>
    </row>
    <row r="38" spans="1:18" x14ac:dyDescent="0.25">
      <c r="A38" s="3" t="s">
        <v>18</v>
      </c>
      <c r="B38" s="37" t="e">
        <f t="shared" ref="B38:G38" si="10">+B29/B32</f>
        <v>#N/A</v>
      </c>
      <c r="C38" s="37" t="e">
        <f t="shared" si="10"/>
        <v>#N/A</v>
      </c>
      <c r="D38" s="37" t="e">
        <f t="shared" si="10"/>
        <v>#N/A</v>
      </c>
      <c r="E38" s="37" t="e">
        <f t="shared" si="10"/>
        <v>#N/A</v>
      </c>
      <c r="F38" s="37" t="e">
        <f t="shared" si="10"/>
        <v>#N/A</v>
      </c>
      <c r="G38" s="37" t="e">
        <f t="shared" si="10"/>
        <v>#N/A</v>
      </c>
      <c r="H38" s="37" t="e">
        <f t="shared" ref="H38:N38" si="11">+H29/H32</f>
        <v>#N/A</v>
      </c>
      <c r="I38" s="37" t="e">
        <f t="shared" si="11"/>
        <v>#N/A</v>
      </c>
      <c r="J38" s="37" t="e">
        <f t="shared" si="11"/>
        <v>#N/A</v>
      </c>
      <c r="K38" s="37" t="e">
        <f t="shared" si="11"/>
        <v>#N/A</v>
      </c>
      <c r="L38" s="37" t="e">
        <f t="shared" si="11"/>
        <v>#N/A</v>
      </c>
      <c r="M38" s="37" t="e">
        <f t="shared" si="11"/>
        <v>#N/A</v>
      </c>
      <c r="N38" s="37" t="e">
        <f t="shared" si="11"/>
        <v>#N/A</v>
      </c>
      <c r="O38" s="6"/>
      <c r="P38" s="4" t="e">
        <f>+P29/P32</f>
        <v>#N/A</v>
      </c>
    </row>
    <row r="39" spans="1:18" x14ac:dyDescent="0.25">
      <c r="A39" s="3" t="s">
        <v>19</v>
      </c>
      <c r="B39" s="37">
        <f t="shared" ref="B39:N39" si="12">+B32/$B$40</f>
        <v>0</v>
      </c>
      <c r="C39" s="37">
        <f>+C32/$B$40</f>
        <v>0</v>
      </c>
      <c r="D39" s="37">
        <f t="shared" si="12"/>
        <v>0</v>
      </c>
      <c r="E39" s="37">
        <f t="shared" si="12"/>
        <v>0</v>
      </c>
      <c r="F39" s="37">
        <f t="shared" si="12"/>
        <v>0</v>
      </c>
      <c r="G39" s="37">
        <f t="shared" si="12"/>
        <v>0.43268178100911425</v>
      </c>
      <c r="H39" s="37">
        <f t="shared" si="12"/>
        <v>0</v>
      </c>
      <c r="I39" s="37">
        <f t="shared" si="12"/>
        <v>0</v>
      </c>
      <c r="J39" s="37">
        <f t="shared" si="12"/>
        <v>0</v>
      </c>
      <c r="K39" s="37">
        <f t="shared" si="12"/>
        <v>0</v>
      </c>
      <c r="L39" s="37">
        <f t="shared" si="12"/>
        <v>0</v>
      </c>
      <c r="M39" s="37">
        <f t="shared" si="12"/>
        <v>0</v>
      </c>
      <c r="N39" s="37">
        <f t="shared" si="12"/>
        <v>0</v>
      </c>
      <c r="O39" s="6"/>
      <c r="P39" s="4">
        <f>+P32/$B$40</f>
        <v>0.43268178100911425</v>
      </c>
    </row>
    <row r="40" spans="1:18" x14ac:dyDescent="0.25">
      <c r="A40" s="3" t="s">
        <v>20</v>
      </c>
      <c r="B40" s="4">
        <f>20*P36*1000</f>
        <v>19801.919999999998</v>
      </c>
      <c r="C40" s="4"/>
      <c r="D40" s="4"/>
      <c r="E40" s="4"/>
      <c r="F40" s="4"/>
      <c r="G40" s="3"/>
      <c r="H40" s="3"/>
      <c r="I40" s="3"/>
      <c r="J40" s="3"/>
      <c r="K40" s="4"/>
      <c r="L40" s="4"/>
      <c r="M40" s="4"/>
      <c r="N40" s="4"/>
      <c r="O40" s="37"/>
      <c r="P40" s="4"/>
    </row>
    <row r="41" spans="1:18" x14ac:dyDescent="0.25">
      <c r="B41" s="237">
        <f>B32/$B$40</f>
        <v>0</v>
      </c>
      <c r="C41" s="237">
        <f>C32/$B$40</f>
        <v>0</v>
      </c>
      <c r="D41" s="237">
        <f t="shared" ref="D41:N41" si="13">D32/$B$40</f>
        <v>0</v>
      </c>
      <c r="E41" s="237">
        <f t="shared" si="13"/>
        <v>0</v>
      </c>
      <c r="F41" s="237">
        <f t="shared" si="13"/>
        <v>0</v>
      </c>
      <c r="G41" s="237">
        <f t="shared" si="13"/>
        <v>0.43268178100911425</v>
      </c>
      <c r="H41" s="237">
        <f t="shared" si="13"/>
        <v>0</v>
      </c>
      <c r="I41" s="237">
        <f t="shared" si="13"/>
        <v>0</v>
      </c>
      <c r="J41" s="237">
        <f t="shared" si="13"/>
        <v>0</v>
      </c>
      <c r="K41" s="237">
        <f t="shared" si="13"/>
        <v>0</v>
      </c>
      <c r="L41" s="237">
        <f t="shared" si="13"/>
        <v>0</v>
      </c>
      <c r="M41" s="237">
        <f t="shared" si="13"/>
        <v>0</v>
      </c>
      <c r="N41" s="237">
        <f t="shared" si="13"/>
        <v>0</v>
      </c>
      <c r="O41" s="24"/>
    </row>
    <row r="42" spans="1:18" x14ac:dyDescent="0.25">
      <c r="B42" s="26"/>
      <c r="C42" s="26"/>
      <c r="D42" s="26"/>
      <c r="E42" s="26"/>
      <c r="F42" s="26"/>
      <c r="O42" s="24"/>
    </row>
    <row r="43" spans="1:18" x14ac:dyDescent="0.25">
      <c r="A43" s="15" t="s">
        <v>14</v>
      </c>
      <c r="B43" s="29"/>
      <c r="C43" s="29"/>
      <c r="D43" s="29"/>
      <c r="E43" s="29"/>
      <c r="F43" s="29"/>
      <c r="G43" s="15"/>
      <c r="H43" s="15"/>
      <c r="I43" s="15"/>
      <c r="J43" s="15"/>
      <c r="K43" s="16"/>
      <c r="L43" s="16"/>
      <c r="M43" s="16"/>
      <c r="N43" s="16"/>
      <c r="O43" s="57"/>
      <c r="P43" s="16"/>
    </row>
    <row r="44" spans="1:18" x14ac:dyDescent="0.25">
      <c r="A44" s="16" t="s">
        <v>11</v>
      </c>
      <c r="B44" s="45">
        <f>+B32</f>
        <v>0</v>
      </c>
      <c r="C44" s="45">
        <f>+C32</f>
        <v>0</v>
      </c>
      <c r="D44" s="45">
        <f t="shared" ref="D44:M45" si="14">+D32</f>
        <v>0</v>
      </c>
      <c r="E44" s="45">
        <f t="shared" si="14"/>
        <v>0</v>
      </c>
      <c r="F44" s="45">
        <f t="shared" si="14"/>
        <v>0</v>
      </c>
      <c r="G44" s="45">
        <f t="shared" si="14"/>
        <v>8567.9300129999992</v>
      </c>
      <c r="H44" s="45">
        <f t="shared" si="14"/>
        <v>0</v>
      </c>
      <c r="I44" s="45">
        <f t="shared" si="14"/>
        <v>0</v>
      </c>
      <c r="J44" s="45">
        <f t="shared" si="14"/>
        <v>0</v>
      </c>
      <c r="K44" s="45">
        <f t="shared" si="14"/>
        <v>0</v>
      </c>
      <c r="L44" s="45">
        <f t="shared" si="14"/>
        <v>0</v>
      </c>
      <c r="M44" s="45">
        <f t="shared" si="14"/>
        <v>0</v>
      </c>
      <c r="N44" s="45">
        <f>+N32</f>
        <v>0</v>
      </c>
      <c r="O44" s="63"/>
      <c r="P44" s="45">
        <f>MAX(B44:N44)</f>
        <v>8567.9300129999992</v>
      </c>
    </row>
    <row r="45" spans="1:18" x14ac:dyDescent="0.25">
      <c r="A45" s="16" t="s">
        <v>7</v>
      </c>
      <c r="B45" s="45">
        <f>+B33</f>
        <v>0</v>
      </c>
      <c r="C45" s="45">
        <f>+C33</f>
        <v>0</v>
      </c>
      <c r="D45" s="45">
        <f t="shared" si="14"/>
        <v>0</v>
      </c>
      <c r="E45" s="45">
        <f t="shared" si="14"/>
        <v>0</v>
      </c>
      <c r="F45" s="45">
        <f t="shared" si="14"/>
        <v>0</v>
      </c>
      <c r="G45" s="45">
        <f t="shared" si="14"/>
        <v>4895372.6066699997</v>
      </c>
      <c r="H45" s="45">
        <f t="shared" si="14"/>
        <v>0</v>
      </c>
      <c r="I45" s="45">
        <f t="shared" si="14"/>
        <v>0</v>
      </c>
      <c r="J45" s="45">
        <f t="shared" si="14"/>
        <v>0</v>
      </c>
      <c r="K45" s="45">
        <f t="shared" si="14"/>
        <v>0</v>
      </c>
      <c r="L45" s="45">
        <f t="shared" si="14"/>
        <v>0</v>
      </c>
      <c r="M45" s="45">
        <f t="shared" si="14"/>
        <v>0</v>
      </c>
      <c r="N45" s="45">
        <f>+N33</f>
        <v>0</v>
      </c>
      <c r="O45" s="63">
        <f>SUM(B45:N45)</f>
        <v>4895372.6066699997</v>
      </c>
      <c r="P45" s="43"/>
    </row>
    <row r="46" spans="1:18" x14ac:dyDescent="0.25">
      <c r="B46" s="26"/>
      <c r="C46" s="26"/>
      <c r="D46" s="26"/>
      <c r="E46" s="26"/>
      <c r="F46" s="26"/>
      <c r="O46" s="24"/>
    </row>
    <row r="47" spans="1:18" x14ac:dyDescent="0.25">
      <c r="A47" s="12" t="s">
        <v>21</v>
      </c>
      <c r="B47" s="28"/>
      <c r="C47" s="28"/>
      <c r="D47" s="28"/>
      <c r="E47" s="28"/>
      <c r="F47" s="28"/>
      <c r="G47" s="12"/>
      <c r="H47" s="12"/>
      <c r="I47" s="12"/>
      <c r="J47" s="12"/>
      <c r="K47" s="11"/>
      <c r="L47" s="11"/>
      <c r="M47" s="11"/>
      <c r="N47" s="11"/>
      <c r="O47" s="56"/>
      <c r="P47" s="11"/>
    </row>
    <row r="48" spans="1:18" x14ac:dyDescent="0.25">
      <c r="A48" s="13" t="s">
        <v>6</v>
      </c>
      <c r="B48" s="49">
        <f>+B44</f>
        <v>0</v>
      </c>
      <c r="C48" s="49">
        <f>+C44</f>
        <v>0</v>
      </c>
      <c r="D48" s="49">
        <f>+D44</f>
        <v>0</v>
      </c>
      <c r="E48" s="49">
        <f>+E44</f>
        <v>0</v>
      </c>
      <c r="F48" s="49">
        <f>+F44</f>
        <v>0</v>
      </c>
      <c r="G48" s="49">
        <f t="shared" ref="G48:M48" si="15">+G44</f>
        <v>8567.9300129999992</v>
      </c>
      <c r="H48" s="49">
        <f t="shared" si="15"/>
        <v>0</v>
      </c>
      <c r="I48" s="49">
        <f t="shared" si="15"/>
        <v>0</v>
      </c>
      <c r="J48" s="49">
        <f t="shared" si="15"/>
        <v>0</v>
      </c>
      <c r="K48" s="49">
        <f t="shared" si="15"/>
        <v>0</v>
      </c>
      <c r="L48" s="49">
        <f t="shared" si="15"/>
        <v>0</v>
      </c>
      <c r="M48" s="49">
        <f t="shared" si="15"/>
        <v>0</v>
      </c>
      <c r="N48" s="49">
        <f>+N44</f>
        <v>0</v>
      </c>
      <c r="O48" s="80"/>
      <c r="P48" s="44">
        <f>MAX(B48:N48)</f>
        <v>8567.9300129999992</v>
      </c>
    </row>
    <row r="49" spans="1:16" x14ac:dyDescent="0.25">
      <c r="A49" s="14" t="s">
        <v>18</v>
      </c>
      <c r="B49" s="14" t="e">
        <f t="shared" ref="B49:M49" si="16">+B44/B48</f>
        <v>#DIV/0!</v>
      </c>
      <c r="C49" s="14" t="e">
        <f>+C44/C48</f>
        <v>#DIV/0!</v>
      </c>
      <c r="D49" s="14" t="e">
        <f t="shared" si="16"/>
        <v>#DIV/0!</v>
      </c>
      <c r="E49" s="14" t="e">
        <f t="shared" si="16"/>
        <v>#DIV/0!</v>
      </c>
      <c r="F49" s="14" t="e">
        <f t="shared" si="16"/>
        <v>#DIV/0!</v>
      </c>
      <c r="G49" s="14">
        <f t="shared" si="16"/>
        <v>1</v>
      </c>
      <c r="H49" s="14" t="e">
        <f t="shared" si="16"/>
        <v>#DIV/0!</v>
      </c>
      <c r="I49" s="14" t="e">
        <f t="shared" si="16"/>
        <v>#DIV/0!</v>
      </c>
      <c r="J49" s="14" t="e">
        <f t="shared" si="16"/>
        <v>#DIV/0!</v>
      </c>
      <c r="K49" s="14" t="e">
        <f t="shared" si="16"/>
        <v>#DIV/0!</v>
      </c>
      <c r="L49" s="14" t="e">
        <f t="shared" si="16"/>
        <v>#DIV/0!</v>
      </c>
      <c r="M49" s="14" t="e">
        <f t="shared" si="16"/>
        <v>#DIV/0!</v>
      </c>
      <c r="N49" s="14" t="e">
        <f>+N44/N48</f>
        <v>#DIV/0!</v>
      </c>
      <c r="O49" s="61"/>
      <c r="P49" s="14">
        <f>+P44/P48</f>
        <v>1</v>
      </c>
    </row>
    <row r="50" spans="1:16" x14ac:dyDescent="0.25">
      <c r="A50" s="33"/>
      <c r="B50" s="33"/>
      <c r="C50" s="33"/>
      <c r="D50" s="33"/>
      <c r="E50" s="33"/>
      <c r="F50" s="33"/>
      <c r="G50" s="33"/>
      <c r="H50" s="33"/>
      <c r="I50" s="33"/>
      <c r="J50" s="33"/>
      <c r="K50" s="33"/>
      <c r="L50" s="33"/>
      <c r="M50" s="33"/>
      <c r="N50" s="33"/>
      <c r="O50" s="64"/>
      <c r="P50" s="33"/>
    </row>
    <row r="51" spans="1:16" x14ac:dyDescent="0.25">
      <c r="A51" s="33"/>
      <c r="B51" s="33"/>
      <c r="C51" s="33"/>
      <c r="D51" s="33"/>
      <c r="E51" s="33"/>
      <c r="F51" s="61" t="s">
        <v>160</v>
      </c>
      <c r="G51" s="145" t="e">
        <f>P13+P20</f>
        <v>#N/A</v>
      </c>
      <c r="H51" s="33"/>
      <c r="I51" s="33"/>
      <c r="J51" s="33"/>
      <c r="K51" s="33"/>
      <c r="L51" s="33"/>
      <c r="M51" s="33"/>
      <c r="N51" s="33"/>
      <c r="O51" s="48"/>
      <c r="P51" s="33"/>
    </row>
    <row r="52" spans="1:16" x14ac:dyDescent="0.25">
      <c r="A52" s="33"/>
      <c r="B52" s="33"/>
      <c r="C52" s="33"/>
      <c r="D52" s="33"/>
      <c r="E52" s="33"/>
      <c r="F52" s="61" t="s">
        <v>161</v>
      </c>
      <c r="G52" s="145">
        <f>P32</f>
        <v>8567.9300129999992</v>
      </c>
      <c r="H52" s="33"/>
      <c r="I52" s="33"/>
      <c r="J52" s="33"/>
      <c r="K52" s="33"/>
      <c r="L52" s="33"/>
      <c r="M52" s="33"/>
      <c r="N52" s="33"/>
      <c r="O52" s="48"/>
      <c r="P52" s="33"/>
    </row>
    <row r="53" spans="1:16" x14ac:dyDescent="0.25">
      <c r="F53" s="146" t="s">
        <v>162</v>
      </c>
      <c r="G53" s="147" t="e">
        <f>G51/G52</f>
        <v>#N/A</v>
      </c>
    </row>
  </sheetData>
  <mergeCells count="21">
    <mergeCell ref="N9:N10"/>
    <mergeCell ref="O9:O10"/>
    <mergeCell ref="P9:P10"/>
    <mergeCell ref="G9:G10"/>
    <mergeCell ref="H9:H10"/>
    <mergeCell ref="I9:I10"/>
    <mergeCell ref="J9:J10"/>
    <mergeCell ref="K9:K10"/>
    <mergeCell ref="L9:L10"/>
    <mergeCell ref="M9:M10"/>
    <mergeCell ref="E2:M2"/>
    <mergeCell ref="E3:M3"/>
    <mergeCell ref="E4:M4"/>
    <mergeCell ref="E5:M5"/>
    <mergeCell ref="E6:M6"/>
    <mergeCell ref="A9:A10"/>
    <mergeCell ref="B9:B10"/>
    <mergeCell ref="D9:D10"/>
    <mergeCell ref="E9:E10"/>
    <mergeCell ref="F9:F10"/>
    <mergeCell ref="C9:C10"/>
  </mergeCells>
  <printOptions horizontalCentered="1" verticalCentered="1"/>
  <pageMargins left="0.70866141732283472" right="0.70866141732283472" top="0.74803149606299213" bottom="0.74803149606299213" header="0.31496062992125984" footer="0.31496062992125984"/>
  <pageSetup scale="65" orientation="landscape" r:id="rId1"/>
  <drawing r:id="rId2"/>
  <legacy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theme="8" tint="0.59999389629810485"/>
  </sheetPr>
  <dimension ref="A1:R53"/>
  <sheetViews>
    <sheetView zoomScale="130" zoomScaleNormal="130" workbookViewId="0">
      <selection activeCell="B24" sqref="B24:N24"/>
    </sheetView>
  </sheetViews>
  <sheetFormatPr baseColWidth="10" defaultRowHeight="13.2" x14ac:dyDescent="0.25"/>
  <cols>
    <col min="1" max="1" width="16.88671875" bestFit="1" customWidth="1"/>
    <col min="2" max="16" width="15.6640625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360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x14ac:dyDescent="0.25">
      <c r="A12" s="271" t="s">
        <v>450</v>
      </c>
      <c r="B12" s="25"/>
      <c r="C12" s="25"/>
      <c r="D12" s="25"/>
      <c r="E12" s="25"/>
      <c r="F12" s="92"/>
      <c r="G12" s="93"/>
      <c r="H12" s="2"/>
      <c r="I12" s="2"/>
      <c r="J12" s="2"/>
      <c r="K12" s="1"/>
      <c r="L12" s="1"/>
      <c r="M12" s="1"/>
      <c r="N12" s="1"/>
      <c r="O12" s="1"/>
      <c r="P12" s="1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8633.9152009999998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8633.9152009999998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4292189.0717280004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4292189.0717280004</v>
      </c>
      <c r="P14" s="43">
        <f>SUM(B14:N14)/(COUNTIF(B14:N14,"&gt;0"))</f>
        <v>4292189.0717280004</v>
      </c>
    </row>
    <row r="15" spans="1:16" x14ac:dyDescent="0.25">
      <c r="A15" s="3" t="s">
        <v>16</v>
      </c>
      <c r="B15" s="37" t="e">
        <f>+((B13/B17)^2-(B13^2))^(0.5)</f>
        <v>#DIV/0!</v>
      </c>
      <c r="C15" s="37" t="e">
        <f>+((C13/C17)^2-(C13^2))^(0.5)</f>
        <v>#DIV/0!</v>
      </c>
      <c r="D15" s="37" t="e">
        <f t="shared" ref="D15:N15" si="0">+((D13/D17)^2-(D13^2))^(0.5)</f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1602.890322086165</v>
      </c>
      <c r="H15" s="37" t="e">
        <f t="shared" si="0"/>
        <v>#DIV/0!</v>
      </c>
      <c r="I15" s="37" t="e">
        <f t="shared" si="0"/>
        <v>#DIV/0!</v>
      </c>
      <c r="J15" s="37" t="e">
        <f t="shared" si="0"/>
        <v>#DIV/0!</v>
      </c>
      <c r="K15" s="37" t="e">
        <f t="shared" si="0"/>
        <v>#DIV/0!</v>
      </c>
      <c r="L15" s="37" t="e">
        <f t="shared" si="0"/>
        <v>#DIV/0!</v>
      </c>
      <c r="M15" s="37" t="e">
        <f t="shared" si="0"/>
        <v>#DIV/0!</v>
      </c>
      <c r="N15" s="37" t="e">
        <f t="shared" si="0"/>
        <v>#DIV/0!</v>
      </c>
      <c r="O15" s="37"/>
      <c r="P15" s="4">
        <f>HLOOKUP(P13,B13:N15,3,FALSE)</f>
        <v>1602.890322086165</v>
      </c>
    </row>
    <row r="16" spans="1:16" x14ac:dyDescent="0.25">
      <c r="A16" s="3" t="s">
        <v>8</v>
      </c>
      <c r="B16" s="37">
        <f>+B14/(24*B$8)</f>
        <v>0</v>
      </c>
      <c r="C16" s="37">
        <f>+C14/(24*C$8)</f>
        <v>0</v>
      </c>
      <c r="D16" s="37">
        <f t="shared" ref="D16:N16" si="1">+D14/(24*D$8)</f>
        <v>0</v>
      </c>
      <c r="E16" s="37">
        <f t="shared" si="1"/>
        <v>0</v>
      </c>
      <c r="F16" s="37">
        <f t="shared" si="1"/>
        <v>0</v>
      </c>
      <c r="G16" s="37">
        <f t="shared" si="1"/>
        <v>5769.0713329677428</v>
      </c>
      <c r="H16" s="37">
        <f t="shared" si="1"/>
        <v>0</v>
      </c>
      <c r="I16" s="37">
        <f t="shared" si="1"/>
        <v>0</v>
      </c>
      <c r="J16" s="37">
        <f t="shared" si="1"/>
        <v>0</v>
      </c>
      <c r="K16" s="37">
        <f t="shared" si="1"/>
        <v>0</v>
      </c>
      <c r="L16" s="37">
        <f t="shared" si="1"/>
        <v>0</v>
      </c>
      <c r="M16" s="37">
        <f t="shared" si="1"/>
        <v>0</v>
      </c>
      <c r="N16" s="37">
        <f t="shared" si="1"/>
        <v>0</v>
      </c>
      <c r="O16" s="6">
        <f>SUM(O14)/(24*O$8)</f>
        <v>489.97592143013702</v>
      </c>
      <c r="P16" s="4">
        <f>O14/(COUNTIF(B14:N14,"&gt;0")*720)</f>
        <v>5961.3737107333336</v>
      </c>
    </row>
    <row r="17" spans="1:17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0.98319999999999996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0.98320000000000007</v>
      </c>
    </row>
    <row r="18" spans="1:17" x14ac:dyDescent="0.25">
      <c r="A18" s="3" t="s">
        <v>17</v>
      </c>
      <c r="B18" s="37" t="e">
        <f>+B16/B13</f>
        <v>#DIV/0!</v>
      </c>
      <c r="C18" s="37" t="e">
        <f>+C16/C13</f>
        <v>#DIV/0!</v>
      </c>
      <c r="D18" s="37" t="e">
        <f>+D16/D13</f>
        <v>#DIV/0!</v>
      </c>
      <c r="E18" s="37" t="e">
        <f>+E16/E13</f>
        <v>#DIV/0!</v>
      </c>
      <c r="F18" s="37" t="e">
        <f>+F16/F13</f>
        <v>#DIV/0!</v>
      </c>
      <c r="G18" s="328">
        <v>0.63163800000000003</v>
      </c>
      <c r="H18" s="328">
        <v>0.66078700000000001</v>
      </c>
      <c r="I18" s="328">
        <v>0.68767199999999995</v>
      </c>
      <c r="J18" s="328">
        <v>0.66103400000000001</v>
      </c>
      <c r="K18" s="328">
        <v>0.63</v>
      </c>
      <c r="L18" s="328">
        <v>0.66565799999999997</v>
      </c>
      <c r="M18" s="328">
        <v>0.70218700000000001</v>
      </c>
      <c r="N18" s="37" t="e">
        <f>+N16/N13</f>
        <v>#DIV/0!</v>
      </c>
      <c r="O18" s="6"/>
      <c r="P18" s="4">
        <f>+P16/P13</f>
        <v>0.69046007193154657</v>
      </c>
    </row>
    <row r="19" spans="1:17" s="24" customFormat="1" x14ac:dyDescent="0.25">
      <c r="A19" s="271" t="s">
        <v>369</v>
      </c>
      <c r="B19" s="65"/>
      <c r="C19" s="65"/>
      <c r="D19" s="65"/>
      <c r="E19" s="65"/>
      <c r="F19" s="65"/>
      <c r="G19" s="66"/>
      <c r="H19" s="66"/>
      <c r="I19" s="66"/>
      <c r="J19" s="66"/>
      <c r="K19" s="50"/>
      <c r="L19" s="50"/>
      <c r="M19" s="50"/>
      <c r="N19" s="50"/>
      <c r="O19" s="50"/>
      <c r="P19" s="50"/>
    </row>
    <row r="20" spans="1:17" x14ac:dyDescent="0.25">
      <c r="A20" s="3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1891.245015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MAX(G20:N20)</f>
        <v>1891.245015</v>
      </c>
    </row>
    <row r="21" spans="1:17" x14ac:dyDescent="0.25">
      <c r="A21" s="3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1020257.595299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SUM(G21:N21)</f>
        <v>1020257.595299</v>
      </c>
      <c r="P21" s="43">
        <f>SUM(B21:N21)/(COUNTIF(B21:N21,"&gt;0"))</f>
        <v>1020257.595299</v>
      </c>
    </row>
    <row r="22" spans="1:17" x14ac:dyDescent="0.25">
      <c r="A22" s="3" t="s">
        <v>16</v>
      </c>
      <c r="B22" s="37" t="e">
        <f>+((B20/B24)^2-(B20^2))^(0.5)</f>
        <v>#DIV/0!</v>
      </c>
      <c r="C22" s="37" t="e">
        <f>+((C20/C24)^2-(C20^2))^(0.5)</f>
        <v>#DIV/0!</v>
      </c>
      <c r="D22" s="37" t="e">
        <f t="shared" ref="D22:N22" si="2">+((D20/D24)^2-(D20^2))^(0.5)</f>
        <v>#DIV/0!</v>
      </c>
      <c r="E22" s="37" t="e">
        <f t="shared" si="2"/>
        <v>#DIV/0!</v>
      </c>
      <c r="F22" s="37" t="e">
        <f t="shared" si="2"/>
        <v>#DIV/0!</v>
      </c>
      <c r="G22" s="37">
        <f t="shared" si="2"/>
        <v>510.20851433355648</v>
      </c>
      <c r="H22" s="37" t="e">
        <f t="shared" si="2"/>
        <v>#DIV/0!</v>
      </c>
      <c r="I22" s="37" t="e">
        <f t="shared" si="2"/>
        <v>#DIV/0!</v>
      </c>
      <c r="J22" s="37" t="e">
        <f t="shared" si="2"/>
        <v>#DIV/0!</v>
      </c>
      <c r="K22" s="37" t="e">
        <f t="shared" si="2"/>
        <v>#DIV/0!</v>
      </c>
      <c r="L22" s="37" t="e">
        <f t="shared" si="2"/>
        <v>#DIV/0!</v>
      </c>
      <c r="M22" s="37" t="e">
        <f t="shared" si="2"/>
        <v>#DIV/0!</v>
      </c>
      <c r="N22" s="37" t="e">
        <f t="shared" si="2"/>
        <v>#DIV/0!</v>
      </c>
      <c r="O22" s="37"/>
      <c r="P22" s="4">
        <f>HLOOKUP(P20,B20:N22,3,FALSE)</f>
        <v>510.20851433355648</v>
      </c>
    </row>
    <row r="23" spans="1:17" x14ac:dyDescent="0.25">
      <c r="A23" s="3" t="s">
        <v>8</v>
      </c>
      <c r="B23" s="37">
        <f>+B21/(24*B$8)</f>
        <v>0</v>
      </c>
      <c r="C23" s="37">
        <f>+C21/(24*C$8)</f>
        <v>0</v>
      </c>
      <c r="D23" s="37">
        <f t="shared" ref="D23:N23" si="3">+D21/(24*D$8)</f>
        <v>0</v>
      </c>
      <c r="E23" s="37">
        <f t="shared" si="3"/>
        <v>0</v>
      </c>
      <c r="F23" s="37">
        <f t="shared" si="3"/>
        <v>0</v>
      </c>
      <c r="G23" s="37">
        <f t="shared" si="3"/>
        <v>1371.3139721760754</v>
      </c>
      <c r="H23" s="37">
        <f t="shared" si="3"/>
        <v>0</v>
      </c>
      <c r="I23" s="37">
        <f t="shared" si="3"/>
        <v>0</v>
      </c>
      <c r="J23" s="37">
        <f t="shared" si="3"/>
        <v>0</v>
      </c>
      <c r="K23" s="37">
        <f t="shared" si="3"/>
        <v>0</v>
      </c>
      <c r="L23" s="37">
        <f t="shared" si="3"/>
        <v>0</v>
      </c>
      <c r="M23" s="37">
        <f t="shared" si="3"/>
        <v>0</v>
      </c>
      <c r="N23" s="37">
        <f t="shared" si="3"/>
        <v>0</v>
      </c>
      <c r="O23" s="6">
        <f>SUM(O21)/(24*O$8)</f>
        <v>116.4677620204338</v>
      </c>
      <c r="P23" s="4">
        <f>O21/(COUNTIF(B21:N21,"&gt;0")*720)</f>
        <v>1417.0244379152778</v>
      </c>
    </row>
    <row r="24" spans="1:17" x14ac:dyDescent="0.25">
      <c r="A24" s="3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0.96548400000000001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0.96548400000000001</v>
      </c>
    </row>
    <row r="25" spans="1:17" x14ac:dyDescent="0.25">
      <c r="A25" s="3" t="s">
        <v>17</v>
      </c>
      <c r="B25" s="37" t="e">
        <f>+B23/B20</f>
        <v>#DIV/0!</v>
      </c>
      <c r="C25" s="37">
        <v>0.60799999999999998</v>
      </c>
      <c r="D25" s="37">
        <v>0.65500000000000003</v>
      </c>
      <c r="E25" s="37">
        <v>0.63100000000000001</v>
      </c>
      <c r="F25" s="37">
        <v>0.58099999999999996</v>
      </c>
      <c r="G25" s="37">
        <v>0.69243600000000005</v>
      </c>
      <c r="H25" s="37">
        <v>0.67407600000000001</v>
      </c>
      <c r="I25" s="37">
        <v>0.69287500000000002</v>
      </c>
      <c r="J25" s="37">
        <v>0.70657300000000001</v>
      </c>
      <c r="K25" s="37">
        <v>0.65914799999999996</v>
      </c>
      <c r="L25" s="37">
        <v>0.68628500000000003</v>
      </c>
      <c r="M25" s="37">
        <v>0.68047500000000005</v>
      </c>
      <c r="N25" s="37" t="e">
        <f>+N23/N20</f>
        <v>#DIV/0!</v>
      </c>
      <c r="O25" s="6"/>
      <c r="P25" s="4">
        <f>+P23/P20</f>
        <v>0.74925481715825049</v>
      </c>
    </row>
    <row r="26" spans="1:17" x14ac:dyDescent="0.25">
      <c r="A26" s="90"/>
      <c r="B26" s="77"/>
      <c r="C26" s="77"/>
      <c r="D26" s="77"/>
      <c r="E26" s="77"/>
      <c r="F26" s="77"/>
      <c r="G26" s="77"/>
      <c r="H26" s="77"/>
      <c r="I26" s="77"/>
      <c r="J26" s="77"/>
      <c r="K26" s="77"/>
      <c r="L26" s="77"/>
      <c r="M26" s="77"/>
      <c r="N26" s="77"/>
      <c r="O26" s="77"/>
      <c r="P26" s="77"/>
    </row>
    <row r="27" spans="1:17" x14ac:dyDescent="0.25">
      <c r="A27" s="90"/>
      <c r="B27" s="77"/>
      <c r="C27" s="77"/>
      <c r="D27" s="77"/>
      <c r="E27" s="77"/>
      <c r="F27" s="77"/>
      <c r="G27" s="77"/>
      <c r="H27" s="77"/>
      <c r="I27" s="77"/>
      <c r="J27" s="77"/>
      <c r="K27" s="77"/>
      <c r="L27" s="77"/>
      <c r="M27" s="77"/>
      <c r="N27" s="77"/>
      <c r="O27" s="77"/>
      <c r="P27" s="77"/>
    </row>
    <row r="28" spans="1:17" x14ac:dyDescent="0.25">
      <c r="A28" s="7" t="s">
        <v>10</v>
      </c>
      <c r="B28" s="72"/>
      <c r="C28" s="72"/>
      <c r="D28" s="72"/>
      <c r="E28" s="72"/>
      <c r="F28" s="72"/>
      <c r="G28" s="73"/>
      <c r="H28" s="73"/>
      <c r="I28" s="73"/>
      <c r="J28" s="73"/>
      <c r="K28" s="73"/>
      <c r="L28" s="53"/>
      <c r="M28" s="53"/>
      <c r="N28" s="53"/>
      <c r="O28" s="53"/>
      <c r="P28" s="8"/>
    </row>
    <row r="29" spans="1:17" x14ac:dyDescent="0.25">
      <c r="A29" s="9" t="s">
        <v>11</v>
      </c>
      <c r="B29" s="62">
        <f>+B13+B20</f>
        <v>0</v>
      </c>
      <c r="C29" s="62">
        <f>+C13+C20</f>
        <v>0</v>
      </c>
      <c r="D29" s="62">
        <f t="shared" ref="D29:N29" si="4">+D13+D20</f>
        <v>0</v>
      </c>
      <c r="E29" s="62">
        <f t="shared" si="4"/>
        <v>0</v>
      </c>
      <c r="F29" s="62">
        <f t="shared" si="4"/>
        <v>0</v>
      </c>
      <c r="G29" s="62">
        <f t="shared" si="4"/>
        <v>10525.160216</v>
      </c>
      <c r="H29" s="62">
        <f t="shared" si="4"/>
        <v>0</v>
      </c>
      <c r="I29" s="62">
        <f t="shared" si="4"/>
        <v>0</v>
      </c>
      <c r="J29" s="62">
        <f t="shared" si="4"/>
        <v>0</v>
      </c>
      <c r="K29" s="62">
        <f t="shared" si="4"/>
        <v>0</v>
      </c>
      <c r="L29" s="62">
        <f t="shared" si="4"/>
        <v>0</v>
      </c>
      <c r="M29" s="62">
        <f t="shared" si="4"/>
        <v>0</v>
      </c>
      <c r="N29" s="62">
        <f t="shared" si="4"/>
        <v>0</v>
      </c>
      <c r="O29" s="62"/>
      <c r="P29" s="42">
        <f>MAX(B29:N29)</f>
        <v>10525.160216</v>
      </c>
    </row>
    <row r="30" spans="1:17" x14ac:dyDescent="0.25">
      <c r="A30" s="9" t="s">
        <v>7</v>
      </c>
      <c r="B30" s="62">
        <f>+B14+B21</f>
        <v>0</v>
      </c>
      <c r="C30" s="62">
        <f>+C14+C21</f>
        <v>0</v>
      </c>
      <c r="D30" s="62">
        <f t="shared" ref="D30:N30" si="5">+D14+D21</f>
        <v>0</v>
      </c>
      <c r="E30" s="62">
        <f t="shared" si="5"/>
        <v>0</v>
      </c>
      <c r="F30" s="62">
        <f t="shared" si="5"/>
        <v>0</v>
      </c>
      <c r="G30" s="62">
        <f t="shared" si="5"/>
        <v>5312446.6670270003</v>
      </c>
      <c r="H30" s="62">
        <f t="shared" si="5"/>
        <v>0</v>
      </c>
      <c r="I30" s="62">
        <f t="shared" si="5"/>
        <v>0</v>
      </c>
      <c r="J30" s="62">
        <f t="shared" si="5"/>
        <v>0</v>
      </c>
      <c r="K30" s="62">
        <f t="shared" si="5"/>
        <v>0</v>
      </c>
      <c r="L30" s="62">
        <f t="shared" si="5"/>
        <v>0</v>
      </c>
      <c r="M30" s="62">
        <f t="shared" si="5"/>
        <v>0</v>
      </c>
      <c r="N30" s="62">
        <f t="shared" si="5"/>
        <v>0</v>
      </c>
      <c r="O30" s="62">
        <f>SUM(B30:N30)</f>
        <v>5312446.6670270003</v>
      </c>
      <c r="P30" s="42"/>
    </row>
    <row r="31" spans="1:17" s="24" customFormat="1" x14ac:dyDescent="0.25">
      <c r="A31" s="272" t="s">
        <v>12</v>
      </c>
      <c r="B31" s="376" t="s">
        <v>494</v>
      </c>
      <c r="C31" s="47"/>
      <c r="D31" s="47"/>
      <c r="E31" s="47"/>
      <c r="F31" s="47"/>
      <c r="G31" s="47"/>
      <c r="H31" s="47"/>
      <c r="I31" s="47"/>
      <c r="J31" s="47"/>
      <c r="K31" s="47"/>
      <c r="L31" s="47"/>
      <c r="M31" s="47"/>
      <c r="N31" s="47"/>
      <c r="O31" s="36"/>
      <c r="P31" s="36"/>
    </row>
    <row r="32" spans="1:17" x14ac:dyDescent="0.25">
      <c r="A32" s="3" t="s">
        <v>6</v>
      </c>
      <c r="B32" s="385">
        <f>VLOOKUP($B$31,BancoTabla_1[],5,FALSE)</f>
        <v>0</v>
      </c>
      <c r="C32" s="385">
        <f>VLOOKUP($B$31,BancoTabla_2[],5,FALSE)</f>
        <v>0</v>
      </c>
      <c r="D32" s="385">
        <f>VLOOKUP($B$31,BancoTabla_3[],5,FALSE)</f>
        <v>0</v>
      </c>
      <c r="E32" s="385">
        <f>VLOOKUP($B$31,BancoTabla_4[],5,FALSE)</f>
        <v>0</v>
      </c>
      <c r="F32" s="385">
        <f>VLOOKUP($B$31,BancoTabla_5[],5,FALSE)</f>
        <v>0</v>
      </c>
      <c r="G32" s="385">
        <f>VLOOKUP($B$31,BancoTabla_6[],5,FALSE)</f>
        <v>10523.166503</v>
      </c>
      <c r="H32" s="385">
        <f>VLOOKUP($B$31,BancoTabla_7[],5,FALSE)</f>
        <v>0</v>
      </c>
      <c r="I32" s="385">
        <f>VLOOKUP($B$31,BancoTabla_8[],5,FALSE)</f>
        <v>0</v>
      </c>
      <c r="J32" s="385">
        <f>VLOOKUP($B$31,BancoTabla_9[],5,FALSE)</f>
        <v>0</v>
      </c>
      <c r="K32" s="385">
        <f>VLOOKUP($B$31,BancoTabla_10[],5,FALSE)</f>
        <v>0</v>
      </c>
      <c r="L32" s="385">
        <f>VLOOKUP($B$31,BancoTabla_11[],5,FALSE)</f>
        <v>0</v>
      </c>
      <c r="M32" s="385">
        <f>VLOOKUP($B$31,BancoTabla_12[],5,FALSE)</f>
        <v>0</v>
      </c>
      <c r="N32" s="385">
        <f>VLOOKUP($B$31,BancoTabla_13[],5,FALSE)</f>
        <v>0</v>
      </c>
      <c r="O32" s="79"/>
      <c r="P32" s="43">
        <f>MAX(B32:N32)</f>
        <v>10523.166503</v>
      </c>
      <c r="Q32" s="334">
        <f>P32/1000</f>
        <v>10.523166503000001</v>
      </c>
    </row>
    <row r="33" spans="1:18" x14ac:dyDescent="0.25">
      <c r="A33" s="3" t="s">
        <v>7</v>
      </c>
      <c r="B33" s="380">
        <f>VLOOKUP($B$31,BancoTabla_1[],8,FALSE)</f>
        <v>0</v>
      </c>
      <c r="C33" s="380">
        <f>VLOOKUP($B$31,BancoTabla_2[],8,FALSE)</f>
        <v>0</v>
      </c>
      <c r="D33" s="380">
        <f>VLOOKUP($B$31,BancoTabla_3[],8,FALSE)</f>
        <v>0</v>
      </c>
      <c r="E33" s="380">
        <f>VLOOKUP($B$31,BancoTabla_4[],8,FALSE)</f>
        <v>0</v>
      </c>
      <c r="F33" s="380">
        <f>VLOOKUP($B$31,BancoTabla_5[],8,FALSE)</f>
        <v>0</v>
      </c>
      <c r="G33" s="380">
        <f>VLOOKUP($B$31,BancoTabla_6[],8,FALSE)</f>
        <v>5289571.5301080002</v>
      </c>
      <c r="H33" s="380">
        <f>VLOOKUP($B$31,BancoTabla_7[],8,FALSE)</f>
        <v>0</v>
      </c>
      <c r="I33" s="380">
        <f>VLOOKUP($B$31,BancoTabla_8[],8,FALSE)</f>
        <v>0</v>
      </c>
      <c r="J33" s="380">
        <f>VLOOKUP($B$31,BancoTabla_9[],8,FALSE)</f>
        <v>0</v>
      </c>
      <c r="K33" s="380">
        <f>VLOOKUP($B$31,BancoTabla_10[],8,FALSE)</f>
        <v>0</v>
      </c>
      <c r="L33" s="380">
        <f>VLOOKUP($B$31,BancoTabla_11[],8,FALSE)</f>
        <v>0</v>
      </c>
      <c r="M33" s="380">
        <f>VLOOKUP($B$31,BancoTabla_12[],8,FALSE)</f>
        <v>0</v>
      </c>
      <c r="N33" s="380">
        <f>VLOOKUP($B$31,BancoTabla_13[],8,FALSE)</f>
        <v>0</v>
      </c>
      <c r="O33" s="47">
        <f>SUM(B33:N33)</f>
        <v>5289571.5301080002</v>
      </c>
      <c r="P33" s="4">
        <f>SUM(B33:N33)/(COUNTIF(B33:N33,"&gt;0"))</f>
        <v>5289571.5301080002</v>
      </c>
      <c r="R33" s="39"/>
    </row>
    <row r="34" spans="1:18" x14ac:dyDescent="0.25">
      <c r="A34" s="3" t="s">
        <v>16</v>
      </c>
      <c r="B34" s="37" t="e">
        <f t="shared" ref="B34:N34" si="6">+((B32/B36)^2-(B32^2))^(0.5)</f>
        <v>#DIV/0!</v>
      </c>
      <c r="C34" s="37" t="e">
        <f>+((C32/C36)^2-(C32^2))^(0.5)</f>
        <v>#DIV/0!</v>
      </c>
      <c r="D34" s="37" t="e">
        <f t="shared" si="6"/>
        <v>#DIV/0!</v>
      </c>
      <c r="E34" s="37" t="e">
        <f t="shared" si="6"/>
        <v>#DIV/0!</v>
      </c>
      <c r="F34" s="37" t="e">
        <f t="shared" si="6"/>
        <v>#DIV/0!</v>
      </c>
      <c r="G34" s="37">
        <f t="shared" si="6"/>
        <v>2037.8821000180778</v>
      </c>
      <c r="H34" s="37" t="e">
        <f t="shared" si="6"/>
        <v>#DIV/0!</v>
      </c>
      <c r="I34" s="37" t="e">
        <f t="shared" si="6"/>
        <v>#DIV/0!</v>
      </c>
      <c r="J34" s="37" t="e">
        <f t="shared" si="6"/>
        <v>#DIV/0!</v>
      </c>
      <c r="K34" s="37" t="e">
        <f t="shared" si="6"/>
        <v>#DIV/0!</v>
      </c>
      <c r="L34" s="37" t="e">
        <f t="shared" si="6"/>
        <v>#DIV/0!</v>
      </c>
      <c r="M34" s="37" t="e">
        <f t="shared" si="6"/>
        <v>#DIV/0!</v>
      </c>
      <c r="N34" s="37" t="e">
        <f t="shared" si="6"/>
        <v>#DIV/0!</v>
      </c>
      <c r="O34" s="37"/>
      <c r="P34" s="4">
        <f>HLOOKUP(P32,B32:N34,3,FALSE)</f>
        <v>2037.8821000180778</v>
      </c>
    </row>
    <row r="35" spans="1:18" x14ac:dyDescent="0.25">
      <c r="A35" s="3" t="s">
        <v>8</v>
      </c>
      <c r="B35" s="37">
        <v>968.16</v>
      </c>
      <c r="C35" s="37">
        <f>+C33/(24*C$8)</f>
        <v>0</v>
      </c>
      <c r="D35" s="37">
        <f>+D33/(24*D$8)</f>
        <v>0</v>
      </c>
      <c r="E35" s="37">
        <f>+E33/(24*E$8)</f>
        <v>0</v>
      </c>
      <c r="F35" s="37">
        <f t="shared" ref="F35:N35" si="7">+F33/(24*F$8)</f>
        <v>0</v>
      </c>
      <c r="G35" s="287">
        <f t="shared" si="7"/>
        <v>7109.6391533709675</v>
      </c>
      <c r="H35" s="37">
        <f t="shared" si="7"/>
        <v>0</v>
      </c>
      <c r="I35" s="37">
        <f t="shared" si="7"/>
        <v>0</v>
      </c>
      <c r="J35" s="37">
        <f t="shared" si="7"/>
        <v>0</v>
      </c>
      <c r="K35" s="37">
        <f t="shared" si="7"/>
        <v>0</v>
      </c>
      <c r="L35" s="37">
        <f t="shared" si="7"/>
        <v>0</v>
      </c>
      <c r="M35" s="37">
        <f t="shared" si="7"/>
        <v>0</v>
      </c>
      <c r="N35" s="37">
        <f t="shared" si="7"/>
        <v>0</v>
      </c>
      <c r="O35" s="6">
        <f>SUM(O33)/(24*O$8)</f>
        <v>603.83236645068496</v>
      </c>
      <c r="P35" s="4">
        <f>O33/(COUNTIF(B33:N33,"&gt;0")*720)</f>
        <v>7346.6271251500002</v>
      </c>
    </row>
    <row r="36" spans="1:18" x14ac:dyDescent="0.25">
      <c r="A36" s="3" t="s">
        <v>9</v>
      </c>
      <c r="B36" s="380">
        <f>VLOOKUP($B$31,BancoTabla_1[],10,FALSE)</f>
        <v>0</v>
      </c>
      <c r="C36" s="380">
        <f>VLOOKUP($B$31,BancoTabla_2[],10,FALSE)</f>
        <v>0</v>
      </c>
      <c r="D36" s="380">
        <f>VLOOKUP($B$31,BancoTabla_3[],10,FALSE)</f>
        <v>0</v>
      </c>
      <c r="E36" s="380">
        <f>VLOOKUP($B$31,BancoTabla_4[],10,FALSE)</f>
        <v>0</v>
      </c>
      <c r="F36" s="380">
        <f>VLOOKUP($B$31,BancoTabla_5[],10,FALSE)</f>
        <v>0</v>
      </c>
      <c r="G36" s="380">
        <f>VLOOKUP($B$31,BancoTabla_6[],10,FALSE)</f>
        <v>0.98175999999999997</v>
      </c>
      <c r="H36" s="380">
        <f>VLOOKUP($B$31,BancoTabla_7[],10,FALSE)</f>
        <v>0</v>
      </c>
      <c r="I36" s="380">
        <f>VLOOKUP($B$31,BancoTabla_8[],10,FALSE)</f>
        <v>0</v>
      </c>
      <c r="J36" s="380">
        <f>VLOOKUP($B$31,BancoTabla_9[],10,FALSE)</f>
        <v>0</v>
      </c>
      <c r="K36" s="380">
        <f>VLOOKUP($B$31,BancoTabla_10[],10,FALSE)</f>
        <v>0</v>
      </c>
      <c r="L36" s="380">
        <f>VLOOKUP($B$31,BancoTabla_11[],10,FALSE)</f>
        <v>0</v>
      </c>
      <c r="M36" s="380">
        <f>VLOOKUP($B$31,BancoTabla_12[],10,FALSE)</f>
        <v>0</v>
      </c>
      <c r="N36" s="380">
        <f>VLOOKUP($B$31,BancoTabla_13[],10,FALSE)</f>
        <v>0</v>
      </c>
      <c r="O36" s="6"/>
      <c r="P36" s="4">
        <f>COS(ATAN(P34/P32))</f>
        <v>0.98175999999999997</v>
      </c>
    </row>
    <row r="37" spans="1:18" x14ac:dyDescent="0.25">
      <c r="A37" s="3" t="s">
        <v>17</v>
      </c>
      <c r="B37" s="37">
        <v>0.67286415236914998</v>
      </c>
      <c r="C37" s="37">
        <v>0.60812600000000006</v>
      </c>
      <c r="D37" s="37">
        <v>0.65502499999999997</v>
      </c>
      <c r="E37" s="37">
        <v>0.63048499999999996</v>
      </c>
      <c r="F37" s="37">
        <v>0.623</v>
      </c>
      <c r="G37" s="37">
        <v>0.63873199999999997</v>
      </c>
      <c r="H37" s="37">
        <v>0.65608900000000003</v>
      </c>
      <c r="I37" s="37">
        <v>0.67908599999999997</v>
      </c>
      <c r="J37" s="37">
        <v>0.65804200000000002</v>
      </c>
      <c r="K37" s="37">
        <v>0.63867700000000005</v>
      </c>
      <c r="L37" s="37">
        <v>0.66522099999999995</v>
      </c>
      <c r="M37" s="37">
        <v>0.69220999999999999</v>
      </c>
      <c r="N37" s="37" t="e">
        <f>+N35/N32</f>
        <v>#DIV/0!</v>
      </c>
      <c r="O37" s="6"/>
      <c r="P37" s="4">
        <f>+P35/P32</f>
        <v>0.69813844749634857</v>
      </c>
    </row>
    <row r="38" spans="1:18" x14ac:dyDescent="0.25">
      <c r="A38" s="3" t="s">
        <v>18</v>
      </c>
      <c r="B38" s="181" t="e">
        <f t="shared" ref="B38:G38" si="8">+B29/B32</f>
        <v>#DIV/0!</v>
      </c>
      <c r="C38" s="37" t="e">
        <f t="shared" si="8"/>
        <v>#DIV/0!</v>
      </c>
      <c r="D38" s="37" t="e">
        <f t="shared" si="8"/>
        <v>#DIV/0!</v>
      </c>
      <c r="E38" s="328" t="e">
        <f t="shared" si="8"/>
        <v>#DIV/0!</v>
      </c>
      <c r="F38" s="37" t="e">
        <f t="shared" si="8"/>
        <v>#DIV/0!</v>
      </c>
      <c r="G38" s="37">
        <f t="shared" si="8"/>
        <v>1.0001894594178882</v>
      </c>
      <c r="H38" s="37" t="e">
        <f t="shared" ref="H38:N38" si="9">+H29/H32</f>
        <v>#DIV/0!</v>
      </c>
      <c r="I38" s="37" t="e">
        <f t="shared" si="9"/>
        <v>#DIV/0!</v>
      </c>
      <c r="J38" s="37" t="e">
        <f>+J29/J32</f>
        <v>#DIV/0!</v>
      </c>
      <c r="K38" s="37" t="e">
        <f t="shared" si="9"/>
        <v>#DIV/0!</v>
      </c>
      <c r="L38" s="37" t="e">
        <f t="shared" si="9"/>
        <v>#DIV/0!</v>
      </c>
      <c r="M38" s="37" t="e">
        <f t="shared" si="9"/>
        <v>#DIV/0!</v>
      </c>
      <c r="N38" s="37" t="e">
        <f t="shared" si="9"/>
        <v>#DIV/0!</v>
      </c>
      <c r="O38" s="6"/>
      <c r="P38" s="4">
        <f>+P29/P32</f>
        <v>1.0001894594178882</v>
      </c>
    </row>
    <row r="39" spans="1:18" x14ac:dyDescent="0.25">
      <c r="A39" s="3" t="s">
        <v>19</v>
      </c>
      <c r="B39" s="37">
        <f t="shared" ref="B39:N39" si="10">+B32/$B$40</f>
        <v>0</v>
      </c>
      <c r="C39" s="37">
        <f>+C32/$B$40</f>
        <v>0</v>
      </c>
      <c r="D39" s="37">
        <f t="shared" si="10"/>
        <v>0</v>
      </c>
      <c r="E39" s="37">
        <f t="shared" si="10"/>
        <v>0</v>
      </c>
      <c r="F39" s="37">
        <f t="shared" si="10"/>
        <v>0</v>
      </c>
      <c r="G39" s="37">
        <f t="shared" si="10"/>
        <v>0.53593375687540756</v>
      </c>
      <c r="H39" s="37">
        <f t="shared" si="10"/>
        <v>0</v>
      </c>
      <c r="I39" s="37">
        <f t="shared" si="10"/>
        <v>0</v>
      </c>
      <c r="J39" s="37">
        <f t="shared" si="10"/>
        <v>0</v>
      </c>
      <c r="K39" s="37">
        <f t="shared" si="10"/>
        <v>0</v>
      </c>
      <c r="L39" s="37">
        <f t="shared" si="10"/>
        <v>0</v>
      </c>
      <c r="M39" s="37">
        <f t="shared" si="10"/>
        <v>0</v>
      </c>
      <c r="N39" s="37">
        <f t="shared" si="10"/>
        <v>0</v>
      </c>
      <c r="O39" s="6"/>
      <c r="P39" s="4">
        <f>+P32/$B$40</f>
        <v>0.53593375687540756</v>
      </c>
    </row>
    <row r="40" spans="1:18" x14ac:dyDescent="0.25">
      <c r="A40" s="3" t="s">
        <v>20</v>
      </c>
      <c r="B40" s="4">
        <f>20*P36*1000</f>
        <v>19635.199999999997</v>
      </c>
      <c r="C40" s="4"/>
      <c r="D40" s="4"/>
      <c r="E40" s="4"/>
      <c r="F40" s="4"/>
      <c r="G40" s="3"/>
      <c r="H40" s="3"/>
      <c r="I40" s="3"/>
      <c r="J40" s="3"/>
      <c r="K40" s="4"/>
      <c r="L40" s="4"/>
      <c r="M40" s="4"/>
      <c r="N40" s="4"/>
      <c r="O40" s="37"/>
      <c r="P40" s="4"/>
    </row>
    <row r="41" spans="1:18" x14ac:dyDescent="0.25">
      <c r="B41" s="237">
        <f>B32/$B$40</f>
        <v>0</v>
      </c>
      <c r="C41" s="237"/>
      <c r="D41" s="237">
        <f t="shared" ref="D41:N41" si="11">D32/$B$40</f>
        <v>0</v>
      </c>
      <c r="E41" s="237">
        <f t="shared" si="11"/>
        <v>0</v>
      </c>
      <c r="F41" s="237">
        <f t="shared" si="11"/>
        <v>0</v>
      </c>
      <c r="G41" s="237">
        <f t="shared" si="11"/>
        <v>0.53593375687540756</v>
      </c>
      <c r="H41" s="237">
        <f t="shared" si="11"/>
        <v>0</v>
      </c>
      <c r="I41" s="237">
        <f t="shared" si="11"/>
        <v>0</v>
      </c>
      <c r="J41" s="237">
        <f t="shared" si="11"/>
        <v>0</v>
      </c>
      <c r="K41" s="237">
        <f t="shared" si="11"/>
        <v>0</v>
      </c>
      <c r="L41" s="237">
        <f t="shared" si="11"/>
        <v>0</v>
      </c>
      <c r="M41" s="237">
        <f t="shared" si="11"/>
        <v>0</v>
      </c>
      <c r="N41" s="237">
        <f t="shared" si="11"/>
        <v>0</v>
      </c>
      <c r="O41" s="24"/>
    </row>
    <row r="42" spans="1:18" x14ac:dyDescent="0.25">
      <c r="B42" s="26"/>
      <c r="C42" s="26"/>
      <c r="D42" s="26"/>
      <c r="E42" s="26"/>
      <c r="F42" s="26"/>
      <c r="O42" s="24"/>
    </row>
    <row r="43" spans="1:18" x14ac:dyDescent="0.25">
      <c r="A43" s="15" t="s">
        <v>14</v>
      </c>
      <c r="B43" s="29"/>
      <c r="C43" s="29"/>
      <c r="D43" s="29"/>
      <c r="E43" s="29"/>
      <c r="F43" s="29"/>
      <c r="G43" s="15"/>
      <c r="H43" s="15"/>
      <c r="I43" s="15"/>
      <c r="J43" s="15"/>
      <c r="K43" s="16"/>
      <c r="L43" s="16"/>
      <c r="M43" s="16"/>
      <c r="N43" s="16"/>
      <c r="O43" s="57"/>
      <c r="P43" s="16"/>
    </row>
    <row r="44" spans="1:18" x14ac:dyDescent="0.25">
      <c r="A44" s="16" t="s">
        <v>11</v>
      </c>
      <c r="B44" s="45">
        <f>+B32</f>
        <v>0</v>
      </c>
      <c r="C44" s="45">
        <f>+C32</f>
        <v>0</v>
      </c>
      <c r="D44" s="45">
        <f t="shared" ref="D44:M45" si="12">+D32</f>
        <v>0</v>
      </c>
      <c r="E44" s="45">
        <f t="shared" si="12"/>
        <v>0</v>
      </c>
      <c r="F44" s="45">
        <f t="shared" si="12"/>
        <v>0</v>
      </c>
      <c r="G44" s="45">
        <f t="shared" si="12"/>
        <v>10523.166503</v>
      </c>
      <c r="H44" s="45">
        <f t="shared" si="12"/>
        <v>0</v>
      </c>
      <c r="I44" s="45">
        <f t="shared" si="12"/>
        <v>0</v>
      </c>
      <c r="J44" s="45">
        <f t="shared" si="12"/>
        <v>0</v>
      </c>
      <c r="K44" s="45">
        <f t="shared" si="12"/>
        <v>0</v>
      </c>
      <c r="L44" s="45">
        <f t="shared" si="12"/>
        <v>0</v>
      </c>
      <c r="M44" s="45">
        <f t="shared" si="12"/>
        <v>0</v>
      </c>
      <c r="N44" s="45">
        <f>+N32</f>
        <v>0</v>
      </c>
      <c r="O44" s="63"/>
      <c r="P44" s="45">
        <f>MAX(B44:N44)</f>
        <v>10523.166503</v>
      </c>
    </row>
    <row r="45" spans="1:18" x14ac:dyDescent="0.25">
      <c r="A45" s="16" t="s">
        <v>7</v>
      </c>
      <c r="B45" s="45">
        <f>+B33</f>
        <v>0</v>
      </c>
      <c r="C45" s="45">
        <f>+C33</f>
        <v>0</v>
      </c>
      <c r="D45" s="45">
        <f t="shared" si="12"/>
        <v>0</v>
      </c>
      <c r="E45" s="45">
        <f t="shared" si="12"/>
        <v>0</v>
      </c>
      <c r="F45" s="45">
        <f t="shared" si="12"/>
        <v>0</v>
      </c>
      <c r="G45" s="45">
        <f t="shared" si="12"/>
        <v>5289571.5301080002</v>
      </c>
      <c r="H45" s="45">
        <f t="shared" si="12"/>
        <v>0</v>
      </c>
      <c r="I45" s="45">
        <f t="shared" si="12"/>
        <v>0</v>
      </c>
      <c r="J45" s="45">
        <f t="shared" si="12"/>
        <v>0</v>
      </c>
      <c r="K45" s="45">
        <f t="shared" si="12"/>
        <v>0</v>
      </c>
      <c r="L45" s="45">
        <f t="shared" si="12"/>
        <v>0</v>
      </c>
      <c r="M45" s="45">
        <f t="shared" si="12"/>
        <v>0</v>
      </c>
      <c r="N45" s="45">
        <f>+N33</f>
        <v>0</v>
      </c>
      <c r="O45" s="63">
        <f>SUM(B45:N45)</f>
        <v>5289571.5301080002</v>
      </c>
      <c r="P45" s="43"/>
    </row>
    <row r="46" spans="1:18" x14ac:dyDescent="0.25">
      <c r="B46" s="26"/>
      <c r="C46" s="26"/>
      <c r="D46" s="26"/>
      <c r="E46" s="26"/>
      <c r="F46" s="26"/>
      <c r="O46" s="24"/>
    </row>
    <row r="47" spans="1:18" x14ac:dyDescent="0.25">
      <c r="A47" s="12" t="s">
        <v>21</v>
      </c>
      <c r="B47" s="28"/>
      <c r="C47" s="28"/>
      <c r="D47" s="28"/>
      <c r="E47" s="28"/>
      <c r="F47" s="28"/>
      <c r="G47" s="12"/>
      <c r="H47" s="12"/>
      <c r="I47" s="12"/>
      <c r="J47" s="12"/>
      <c r="K47" s="11"/>
      <c r="L47" s="11"/>
      <c r="M47" s="11"/>
      <c r="N47" s="11"/>
      <c r="O47" s="56"/>
      <c r="P47" s="11"/>
    </row>
    <row r="48" spans="1:18" x14ac:dyDescent="0.25">
      <c r="A48" s="13" t="s">
        <v>6</v>
      </c>
      <c r="B48" s="49">
        <f>+B44</f>
        <v>0</v>
      </c>
      <c r="C48" s="49">
        <f>+C44</f>
        <v>0</v>
      </c>
      <c r="D48" s="49">
        <f>+D44</f>
        <v>0</v>
      </c>
      <c r="E48" s="49">
        <f>+E44</f>
        <v>0</v>
      </c>
      <c r="F48" s="49">
        <f>+F44</f>
        <v>0</v>
      </c>
      <c r="G48" s="49">
        <f t="shared" ref="G48:M48" si="13">+G44</f>
        <v>10523.166503</v>
      </c>
      <c r="H48" s="49">
        <f t="shared" si="13"/>
        <v>0</v>
      </c>
      <c r="I48" s="49">
        <f t="shared" si="13"/>
        <v>0</v>
      </c>
      <c r="J48" s="49">
        <f t="shared" si="13"/>
        <v>0</v>
      </c>
      <c r="K48" s="49">
        <f t="shared" si="13"/>
        <v>0</v>
      </c>
      <c r="L48" s="49">
        <f t="shared" si="13"/>
        <v>0</v>
      </c>
      <c r="M48" s="49">
        <f t="shared" si="13"/>
        <v>0</v>
      </c>
      <c r="N48" s="49">
        <f>+N44</f>
        <v>0</v>
      </c>
      <c r="O48" s="80"/>
      <c r="P48" s="44">
        <f>MAX(B48:N48)</f>
        <v>10523.166503</v>
      </c>
    </row>
    <row r="49" spans="1:16" x14ac:dyDescent="0.25">
      <c r="A49" s="14" t="s">
        <v>18</v>
      </c>
      <c r="B49" s="14" t="e">
        <f t="shared" ref="B49:M49" si="14">+B44/B48</f>
        <v>#DIV/0!</v>
      </c>
      <c r="C49" s="14" t="e">
        <f>+C44/C48</f>
        <v>#DIV/0!</v>
      </c>
      <c r="D49" s="14" t="e">
        <f t="shared" si="14"/>
        <v>#DIV/0!</v>
      </c>
      <c r="E49" s="14" t="e">
        <f t="shared" si="14"/>
        <v>#DIV/0!</v>
      </c>
      <c r="F49" s="14" t="e">
        <f t="shared" si="14"/>
        <v>#DIV/0!</v>
      </c>
      <c r="G49" s="14">
        <f t="shared" si="14"/>
        <v>1</v>
      </c>
      <c r="H49" s="14" t="e">
        <f t="shared" si="14"/>
        <v>#DIV/0!</v>
      </c>
      <c r="I49" s="14" t="e">
        <f t="shared" si="14"/>
        <v>#DIV/0!</v>
      </c>
      <c r="J49" s="14" t="e">
        <f t="shared" si="14"/>
        <v>#DIV/0!</v>
      </c>
      <c r="K49" s="14" t="e">
        <f t="shared" si="14"/>
        <v>#DIV/0!</v>
      </c>
      <c r="L49" s="14" t="e">
        <f t="shared" si="14"/>
        <v>#DIV/0!</v>
      </c>
      <c r="M49" s="14" t="e">
        <f t="shared" si="14"/>
        <v>#DIV/0!</v>
      </c>
      <c r="N49" s="14" t="e">
        <f>+N44/N48</f>
        <v>#DIV/0!</v>
      </c>
      <c r="O49" s="61"/>
      <c r="P49" s="14">
        <f>+P44/P48</f>
        <v>1</v>
      </c>
    </row>
    <row r="50" spans="1:16" x14ac:dyDescent="0.25">
      <c r="A50" s="33"/>
      <c r="B50" s="33"/>
      <c r="C50" s="33"/>
      <c r="D50" s="33"/>
      <c r="E50" s="33"/>
      <c r="F50" s="33"/>
      <c r="G50" s="33"/>
      <c r="H50" s="33"/>
      <c r="I50" s="33"/>
      <c r="J50" s="33"/>
      <c r="K50" s="33"/>
      <c r="L50" s="33"/>
      <c r="M50" s="33"/>
      <c r="N50" s="33"/>
      <c r="O50" s="64"/>
      <c r="P50" s="33"/>
    </row>
    <row r="51" spans="1:16" x14ac:dyDescent="0.25">
      <c r="A51" s="33"/>
      <c r="B51" s="33"/>
      <c r="C51" s="33"/>
      <c r="D51" s="33"/>
      <c r="E51" s="33"/>
      <c r="F51" s="61" t="s">
        <v>160</v>
      </c>
      <c r="G51" s="145">
        <f>P13+P20</f>
        <v>10525.160216</v>
      </c>
      <c r="H51" s="33"/>
      <c r="I51" s="33"/>
      <c r="J51" s="33"/>
      <c r="K51" s="33"/>
      <c r="L51" s="33"/>
      <c r="M51" s="33"/>
      <c r="N51" s="33"/>
      <c r="O51" s="48"/>
      <c r="P51" s="33"/>
    </row>
    <row r="52" spans="1:16" x14ac:dyDescent="0.25">
      <c r="A52" s="33"/>
      <c r="B52" s="33"/>
      <c r="C52" s="33"/>
      <c r="D52" s="33"/>
      <c r="E52" s="33"/>
      <c r="F52" s="61" t="s">
        <v>161</v>
      </c>
      <c r="G52" s="145">
        <f>P32</f>
        <v>10523.166503</v>
      </c>
      <c r="H52" s="33"/>
      <c r="I52" s="33"/>
      <c r="J52" s="33"/>
      <c r="K52" s="33"/>
      <c r="L52" s="33"/>
      <c r="M52" s="33"/>
      <c r="N52" s="33"/>
      <c r="O52" s="48"/>
      <c r="P52" s="33"/>
    </row>
    <row r="53" spans="1:16" x14ac:dyDescent="0.25">
      <c r="F53" s="146" t="s">
        <v>162</v>
      </c>
      <c r="G53" s="147">
        <f>G51/G52</f>
        <v>1.0001894594178882</v>
      </c>
    </row>
  </sheetData>
  <mergeCells count="21">
    <mergeCell ref="A9:A10"/>
    <mergeCell ref="B9:B10"/>
    <mergeCell ref="D9:D10"/>
    <mergeCell ref="E9:E10"/>
    <mergeCell ref="F9:F10"/>
    <mergeCell ref="C9:C10"/>
    <mergeCell ref="E2:M2"/>
    <mergeCell ref="E3:M3"/>
    <mergeCell ref="E4:M4"/>
    <mergeCell ref="E5:M5"/>
    <mergeCell ref="E6:M6"/>
    <mergeCell ref="N9:N10"/>
    <mergeCell ref="O9:O10"/>
    <mergeCell ref="P9:P10"/>
    <mergeCell ref="G9:G10"/>
    <mergeCell ref="H9:H10"/>
    <mergeCell ref="I9:I10"/>
    <mergeCell ref="J9:J10"/>
    <mergeCell ref="L9:L10"/>
    <mergeCell ref="M9:M10"/>
    <mergeCell ref="K9:K10"/>
  </mergeCells>
  <printOptions horizontalCentered="1" verticalCentered="1"/>
  <pageMargins left="0.70866141732283472" right="0.70866141732283472" top="0.74803149606299213" bottom="0.74803149606299213" header="0.31496062992125984" footer="0.31496062992125984"/>
  <pageSetup scale="65" orientation="landscape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3:P33"/>
  <sheetViews>
    <sheetView zoomScaleNormal="100" zoomScaleSheetLayoutView="100" workbookViewId="0">
      <selection activeCell="O40" sqref="O40"/>
    </sheetView>
  </sheetViews>
  <sheetFormatPr baseColWidth="10" defaultRowHeight="13.2" x14ac:dyDescent="0.25"/>
  <cols>
    <col min="2" max="2" width="20" customWidth="1"/>
    <col min="3" max="16" width="15.6640625" customWidth="1"/>
  </cols>
  <sheetData>
    <row r="3" spans="1:16" x14ac:dyDescent="0.25">
      <c r="E3" s="398" t="s">
        <v>0</v>
      </c>
      <c r="F3" s="398"/>
      <c r="G3" s="398"/>
      <c r="H3" s="398"/>
      <c r="I3" s="398"/>
      <c r="J3" s="398"/>
      <c r="K3" s="398"/>
      <c r="L3" s="398"/>
      <c r="M3" s="398"/>
      <c r="O3" s="20"/>
    </row>
    <row r="4" spans="1:16" x14ac:dyDescent="0.25">
      <c r="E4" s="398" t="s">
        <v>1</v>
      </c>
      <c r="F4" s="398"/>
      <c r="G4" s="398"/>
      <c r="H4" s="398"/>
      <c r="I4" s="398"/>
      <c r="J4" s="398"/>
      <c r="K4" s="398"/>
      <c r="L4" s="398"/>
      <c r="M4" s="398"/>
      <c r="O4" s="20"/>
    </row>
    <row r="5" spans="1:16" x14ac:dyDescent="0.25">
      <c r="E5" s="398" t="s">
        <v>22</v>
      </c>
      <c r="F5" s="398"/>
      <c r="G5" s="398"/>
      <c r="H5" s="398"/>
      <c r="I5" s="398"/>
      <c r="J5" s="398"/>
      <c r="K5" s="398"/>
      <c r="L5" s="398"/>
      <c r="M5" s="398"/>
      <c r="O5" s="20"/>
    </row>
    <row r="6" spans="1:16" x14ac:dyDescent="0.25">
      <c r="E6" s="398" t="s">
        <v>48</v>
      </c>
      <c r="F6" s="398"/>
      <c r="G6" s="398"/>
      <c r="H6" s="398"/>
      <c r="I6" s="398"/>
      <c r="J6" s="398"/>
      <c r="K6" s="398"/>
      <c r="L6" s="398"/>
      <c r="M6" s="398"/>
      <c r="O6" s="20"/>
    </row>
    <row r="7" spans="1:16" x14ac:dyDescent="0.25">
      <c r="E7" s="76"/>
      <c r="O7" s="20"/>
    </row>
    <row r="8" spans="1:16" ht="13.8" thickBot="1" x14ac:dyDescent="0.3">
      <c r="B8" s="18" t="s">
        <v>15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SUM(C8:N8)</f>
        <v>365</v>
      </c>
      <c r="P8" s="19">
        <f>+O8/12</f>
        <v>30.416666666666668</v>
      </c>
    </row>
    <row r="9" spans="1:16" s="78" customFormat="1" ht="13.8" thickTop="1" x14ac:dyDescent="0.25">
      <c r="A9" s="208" t="s">
        <v>335</v>
      </c>
      <c r="B9" s="208" t="s">
        <v>331</v>
      </c>
      <c r="C9" s="209">
        <v>44197</v>
      </c>
      <c r="D9" s="209">
        <v>44228</v>
      </c>
      <c r="E9" s="209">
        <v>44256</v>
      </c>
      <c r="F9" s="209">
        <v>44287</v>
      </c>
      <c r="G9" s="209">
        <v>44317</v>
      </c>
      <c r="H9" s="209">
        <v>44348</v>
      </c>
      <c r="I9" s="209">
        <v>44378</v>
      </c>
      <c r="J9" s="209">
        <v>44409</v>
      </c>
      <c r="K9" s="209">
        <v>44440</v>
      </c>
      <c r="L9" s="209">
        <v>44470</v>
      </c>
      <c r="M9" s="209">
        <v>44501</v>
      </c>
      <c r="N9" s="209">
        <v>44531</v>
      </c>
      <c r="O9" s="208" t="s">
        <v>4</v>
      </c>
      <c r="P9" s="208" t="s">
        <v>5</v>
      </c>
    </row>
    <row r="10" spans="1:16" x14ac:dyDescent="0.25">
      <c r="A10" s="38">
        <v>1</v>
      </c>
      <c r="B10" s="38" t="s">
        <v>49</v>
      </c>
      <c r="C10" s="41">
        <f>'S.E CHICBUL'!B44</f>
        <v>0</v>
      </c>
      <c r="D10" s="41">
        <f>'S.E CHICBUL'!D44</f>
        <v>0</v>
      </c>
      <c r="E10" s="41">
        <f>'S.E CHICBUL'!E44</f>
        <v>0</v>
      </c>
      <c r="F10" s="41">
        <f>'S.E CHICBUL'!F44</f>
        <v>0</v>
      </c>
      <c r="G10" s="41">
        <f>'S.E CHICBUL'!G44</f>
        <v>4758.4574380000004</v>
      </c>
      <c r="H10" s="41">
        <f>'S.E CHICBUL'!H44</f>
        <v>0</v>
      </c>
      <c r="I10" s="41">
        <f>'S.E CHICBUL'!I44</f>
        <v>0</v>
      </c>
      <c r="J10" s="41">
        <f>'S.E CHICBUL'!J44</f>
        <v>0</v>
      </c>
      <c r="K10" s="41">
        <f>'S.E CHICBUL'!K44</f>
        <v>0</v>
      </c>
      <c r="L10" s="41">
        <f>'S.E CHICBUL'!L44</f>
        <v>0</v>
      </c>
      <c r="M10" s="41">
        <f>'S.E CHICBUL'!M44</f>
        <v>0</v>
      </c>
      <c r="N10" s="41">
        <f>'S.E CHICBUL'!N44</f>
        <v>0</v>
      </c>
      <c r="O10" s="79"/>
      <c r="P10" s="43">
        <f t="shared" ref="P10:P25" si="0">MAX(C10:N10)</f>
        <v>4758.4574380000004</v>
      </c>
    </row>
    <row r="11" spans="1:16" x14ac:dyDescent="0.25">
      <c r="A11" s="38">
        <v>2</v>
      </c>
      <c r="B11" s="38" t="s">
        <v>50</v>
      </c>
      <c r="C11" s="41">
        <f>'S.E CALKINI'!B58</f>
        <v>0</v>
      </c>
      <c r="D11" s="41">
        <f>'S.E CALKINI'!D58</f>
        <v>0</v>
      </c>
      <c r="E11" s="41">
        <f>'S.E CALKINI'!E58</f>
        <v>0</v>
      </c>
      <c r="F11" s="41">
        <f>'S.E CALKINI'!F58</f>
        <v>0</v>
      </c>
      <c r="G11" s="41">
        <f>'S.E CALKINI'!G58</f>
        <v>12387.799967000001</v>
      </c>
      <c r="H11" s="41">
        <f>'S.E CALKINI'!H58</f>
        <v>0</v>
      </c>
      <c r="I11" s="41">
        <f>'S.E CALKINI'!I58</f>
        <v>0</v>
      </c>
      <c r="J11" s="41">
        <f>'S.E CALKINI'!J58</f>
        <v>0</v>
      </c>
      <c r="K11" s="41">
        <f>'S.E CALKINI'!K58</f>
        <v>0</v>
      </c>
      <c r="L11" s="41">
        <f>'S.E CALKINI'!L58</f>
        <v>0</v>
      </c>
      <c r="M11" s="41">
        <f>'S.E CALKINI'!M58</f>
        <v>0</v>
      </c>
      <c r="N11" s="41">
        <f>'S.E CALKINI'!N58</f>
        <v>0</v>
      </c>
      <c r="O11" s="79"/>
      <c r="P11" s="43">
        <f t="shared" si="0"/>
        <v>12387.799967000001</v>
      </c>
    </row>
    <row r="12" spans="1:16" x14ac:dyDescent="0.25">
      <c r="A12" s="38">
        <v>3</v>
      </c>
      <c r="B12" s="38" t="s">
        <v>51</v>
      </c>
      <c r="C12" s="41">
        <f>'S.E CHAMPOTON'!B92</f>
        <v>0</v>
      </c>
      <c r="D12" s="41">
        <f>'S.E CHAMPOTON'!D92</f>
        <v>0</v>
      </c>
      <c r="E12" s="41">
        <f>'S.E CHAMPOTON'!E92</f>
        <v>0</v>
      </c>
      <c r="F12" s="41">
        <f>'S.E CHAMPOTON'!F92</f>
        <v>0</v>
      </c>
      <c r="G12" s="41">
        <f>'S.E CHAMPOTON'!G92</f>
        <v>21439.29804093</v>
      </c>
      <c r="H12" s="41">
        <f>'S.E CHAMPOTON'!H92</f>
        <v>0</v>
      </c>
      <c r="I12" s="41">
        <f>'S.E CHAMPOTON'!I92</f>
        <v>0</v>
      </c>
      <c r="J12" s="41">
        <f>'S.E CHAMPOTON'!J92</f>
        <v>0</v>
      </c>
      <c r="K12" s="41">
        <f>'S.E CHAMPOTON'!K92</f>
        <v>0</v>
      </c>
      <c r="L12" s="41">
        <f>'S.E CHAMPOTON'!L92</f>
        <v>0</v>
      </c>
      <c r="M12" s="41">
        <f>'S.E CHAMPOTON'!M92</f>
        <v>0</v>
      </c>
      <c r="N12" s="41">
        <f>'S.E CHAMPOTON'!N92</f>
        <v>0</v>
      </c>
      <c r="O12" s="79"/>
      <c r="P12" s="43">
        <f t="shared" si="0"/>
        <v>21439.29804093</v>
      </c>
    </row>
    <row r="13" spans="1:16" x14ac:dyDescent="0.25">
      <c r="A13" s="38" t="s">
        <v>336</v>
      </c>
      <c r="B13" s="38" t="s">
        <v>52</v>
      </c>
      <c r="C13" s="41">
        <f>'S.E CAYAL'!B86</f>
        <v>0</v>
      </c>
      <c r="D13" s="41">
        <f>'S.E CAYAL'!D86</f>
        <v>4936.2296247550003</v>
      </c>
      <c r="E13" s="41">
        <f>'S.E CAYAL'!E86</f>
        <v>5998.1896905000003</v>
      </c>
      <c r="F13" s="41">
        <f>'S.E CAYAL'!F86</f>
        <v>5388.08</v>
      </c>
      <c r="G13" s="41">
        <f>'S.E CAYAL'!G86</f>
        <v>14524.059826409999</v>
      </c>
      <c r="H13" s="41">
        <f>'S.E CAYAL'!H86</f>
        <v>0</v>
      </c>
      <c r="I13" s="41">
        <f>'S.E CAYAL'!I86</f>
        <v>0</v>
      </c>
      <c r="J13" s="41">
        <f>'S.E CAYAL'!J86</f>
        <v>0</v>
      </c>
      <c r="K13" s="41">
        <f>'S.E CAYAL'!K86</f>
        <v>0</v>
      </c>
      <c r="L13" s="41">
        <f>'S.E CAYAL'!L86</f>
        <v>0</v>
      </c>
      <c r="M13" s="41">
        <f>'S.E CAYAL'!M86</f>
        <v>0</v>
      </c>
      <c r="N13" s="41">
        <f>'S.E CAYAL'!N86</f>
        <v>0</v>
      </c>
      <c r="O13" s="79"/>
      <c r="P13" s="43">
        <f t="shared" si="0"/>
        <v>14524.059826409999</v>
      </c>
    </row>
    <row r="14" spans="1:16" x14ac:dyDescent="0.25">
      <c r="A14" s="38" t="s">
        <v>337</v>
      </c>
      <c r="B14" s="38" t="s">
        <v>53</v>
      </c>
      <c r="C14" s="41">
        <f>'S.E ESCARCEGA'!B93</f>
        <v>0</v>
      </c>
      <c r="D14" s="41">
        <f>'S.E ESCARCEGA'!D93</f>
        <v>0</v>
      </c>
      <c r="E14" s="41">
        <f>'S.E ESCARCEGA'!E93</f>
        <v>0</v>
      </c>
      <c r="F14" s="41">
        <f>'S.E ESCARCEGA'!F93</f>
        <v>0</v>
      </c>
      <c r="G14" s="41">
        <f>'S.E ESCARCEGA'!G93</f>
        <v>23484.45015972</v>
      </c>
      <c r="H14" s="41">
        <f>'S.E ESCARCEGA'!H93</f>
        <v>0</v>
      </c>
      <c r="I14" s="41">
        <f>'S.E ESCARCEGA'!I93</f>
        <v>0</v>
      </c>
      <c r="J14" s="41">
        <f>'S.E ESCARCEGA'!J93</f>
        <v>0</v>
      </c>
      <c r="K14" s="41">
        <f>'S.E ESCARCEGA'!K93</f>
        <v>0</v>
      </c>
      <c r="L14" s="41">
        <f>'S.E ESCARCEGA'!L93</f>
        <v>0</v>
      </c>
      <c r="M14" s="41">
        <f>'S.E ESCARCEGA'!M93</f>
        <v>0</v>
      </c>
      <c r="N14" s="41">
        <f>'S.E ESCARCEGA'!N93</f>
        <v>0</v>
      </c>
      <c r="O14" s="79"/>
      <c r="P14" s="43">
        <f t="shared" si="0"/>
        <v>23484.45015972</v>
      </c>
    </row>
    <row r="15" spans="1:16" x14ac:dyDescent="0.25">
      <c r="A15" s="38" t="s">
        <v>338</v>
      </c>
      <c r="B15" s="38" t="s">
        <v>54</v>
      </c>
      <c r="C15" s="41">
        <f>'S.E HECELCHAKAN'!B58</f>
        <v>0</v>
      </c>
      <c r="D15" s="41">
        <f>'S.E HECELCHAKAN'!D58</f>
        <v>0</v>
      </c>
      <c r="E15" s="41">
        <f>'S.E HECELCHAKAN'!E58</f>
        <v>0</v>
      </c>
      <c r="F15" s="41">
        <f>'S.E HECELCHAKAN'!F58</f>
        <v>0</v>
      </c>
      <c r="G15" s="41">
        <f>'S.E HECELCHAKAN'!G58</f>
        <v>7797.5383300000003</v>
      </c>
      <c r="H15" s="41">
        <f>'S.E HECELCHAKAN'!H58</f>
        <v>0</v>
      </c>
      <c r="I15" s="41">
        <f>'S.E HECELCHAKAN'!I58</f>
        <v>0</v>
      </c>
      <c r="J15" s="41">
        <f>'S.E HECELCHAKAN'!J58</f>
        <v>0</v>
      </c>
      <c r="K15" s="41">
        <f>'S.E HECELCHAKAN'!K58</f>
        <v>0</v>
      </c>
      <c r="L15" s="41">
        <f>'S.E HECELCHAKAN'!L58</f>
        <v>0</v>
      </c>
      <c r="M15" s="41">
        <f>'S.E HECELCHAKAN'!M58</f>
        <v>0</v>
      </c>
      <c r="N15" s="41">
        <f>'S.E HECELCHAKAN'!N58</f>
        <v>0</v>
      </c>
      <c r="O15" s="79"/>
      <c r="P15" s="43">
        <f t="shared" si="0"/>
        <v>7797.5383300000003</v>
      </c>
    </row>
    <row r="16" spans="1:16" x14ac:dyDescent="0.25">
      <c r="A16" s="38" t="s">
        <v>339</v>
      </c>
      <c r="B16" s="38" t="s">
        <v>55</v>
      </c>
      <c r="C16" s="41">
        <f>'S.E KALA'!B100</f>
        <v>0</v>
      </c>
      <c r="D16" s="41">
        <f>'S.E KALA'!D100</f>
        <v>0</v>
      </c>
      <c r="E16" s="41">
        <f>'S.E KALA'!E100</f>
        <v>0</v>
      </c>
      <c r="F16" s="41">
        <f>'S.E KALA'!F100</f>
        <v>0</v>
      </c>
      <c r="G16" s="41">
        <f>'S.E KALA'!G100</f>
        <v>30318.015339149995</v>
      </c>
      <c r="H16" s="41">
        <f>'S.E KALA'!H100</f>
        <v>0</v>
      </c>
      <c r="I16" s="41">
        <f>'S.E KALA'!I100</f>
        <v>0</v>
      </c>
      <c r="J16" s="41">
        <f>'S.E KALA'!J100</f>
        <v>0</v>
      </c>
      <c r="K16" s="41">
        <f>'S.E KALA'!K100</f>
        <v>0</v>
      </c>
      <c r="L16" s="41">
        <f>'S.E KALA'!L100</f>
        <v>0</v>
      </c>
      <c r="M16" s="41">
        <f>'S.E KALA'!M100</f>
        <v>0</v>
      </c>
      <c r="N16" s="41">
        <f>'S.E KALA'!N100</f>
        <v>0</v>
      </c>
      <c r="O16" s="79"/>
      <c r="P16" s="43">
        <f t="shared" si="0"/>
        <v>30318.015339149995</v>
      </c>
    </row>
    <row r="17" spans="1:16" x14ac:dyDescent="0.25">
      <c r="A17" s="38" t="s">
        <v>340</v>
      </c>
      <c r="B17" s="38" t="s">
        <v>56</v>
      </c>
      <c r="C17" s="41">
        <f>'S.E LERMA'!B37</f>
        <v>0</v>
      </c>
      <c r="D17" s="41">
        <f>'S.E LERMA'!D37</f>
        <v>0</v>
      </c>
      <c r="E17" s="41">
        <f>'S.E LERMA'!E37</f>
        <v>0</v>
      </c>
      <c r="F17" s="41">
        <f>'S.E LERMA'!F37</f>
        <v>0</v>
      </c>
      <c r="G17" s="41">
        <f>'S.E LERMA'!G37</f>
        <v>4106.7133379999996</v>
      </c>
      <c r="H17" s="41">
        <f>'S.E LERMA'!H37</f>
        <v>0</v>
      </c>
      <c r="I17" s="41">
        <f>'S.E LERMA'!I37</f>
        <v>0</v>
      </c>
      <c r="J17" s="41">
        <f>'S.E LERMA'!J37</f>
        <v>0</v>
      </c>
      <c r="K17" s="41">
        <f>'S.E LERMA'!K37</f>
        <v>0</v>
      </c>
      <c r="L17" s="41">
        <f>'S.E LERMA'!L37</f>
        <v>0</v>
      </c>
      <c r="M17" s="41">
        <f>'S.E LERMA'!M37</f>
        <v>0</v>
      </c>
      <c r="N17" s="41">
        <f>'S.E LERMA'!N37</f>
        <v>0</v>
      </c>
      <c r="O17" s="79"/>
      <c r="P17" s="43">
        <f t="shared" si="0"/>
        <v>4106.7133379999996</v>
      </c>
    </row>
    <row r="18" spans="1:16" x14ac:dyDescent="0.25">
      <c r="A18" s="38" t="s">
        <v>341</v>
      </c>
      <c r="B18" s="38" t="s">
        <v>57</v>
      </c>
      <c r="C18" s="41">
        <f>'S.E SAMULA II'!B72</f>
        <v>0</v>
      </c>
      <c r="D18" s="41">
        <f>'S.E SAMULA II'!D72</f>
        <v>0</v>
      </c>
      <c r="E18" s="41">
        <f>'S.E SAMULA II'!E72</f>
        <v>0</v>
      </c>
      <c r="F18" s="41">
        <f>'S.E SAMULA II'!F72</f>
        <v>0</v>
      </c>
      <c r="G18" s="41">
        <f>'S.E SAMULA II'!G72</f>
        <v>26103.299803999998</v>
      </c>
      <c r="H18" s="41">
        <f>'S.E SAMULA II'!H72</f>
        <v>0</v>
      </c>
      <c r="I18" s="41">
        <f>'S.E SAMULA II'!I72</f>
        <v>0</v>
      </c>
      <c r="J18" s="41">
        <f>'S.E SAMULA II'!J72</f>
        <v>0</v>
      </c>
      <c r="K18" s="41">
        <f>'S.E SAMULA II'!K72</f>
        <v>0</v>
      </c>
      <c r="L18" s="41">
        <f>'S.E SAMULA II'!L72</f>
        <v>0</v>
      </c>
      <c r="M18" s="41">
        <f>'S.E SAMULA II'!M72</f>
        <v>0</v>
      </c>
      <c r="N18" s="41">
        <f>'S.E SAMULA II'!N72</f>
        <v>0</v>
      </c>
      <c r="O18" s="79"/>
      <c r="P18" s="43">
        <f t="shared" si="0"/>
        <v>26103.299803999998</v>
      </c>
    </row>
    <row r="19" spans="1:16" x14ac:dyDescent="0.25">
      <c r="A19" s="38" t="s">
        <v>342</v>
      </c>
      <c r="B19" s="38" t="s">
        <v>58</v>
      </c>
      <c r="C19" s="41">
        <f>'S.E SAMULA SF6'!B167</f>
        <v>0</v>
      </c>
      <c r="D19" s="41">
        <f>'S.E SAMULA SF6'!D167</f>
        <v>0</v>
      </c>
      <c r="E19" s="41">
        <f>'S.E SAMULA SF6'!E167</f>
        <v>0</v>
      </c>
      <c r="F19" s="41">
        <f>'S.E SAMULA SF6'!F167</f>
        <v>0</v>
      </c>
      <c r="G19" s="41">
        <f>'S.E SAMULA SF6'!G167</f>
        <v>36123.31858608</v>
      </c>
      <c r="H19" s="41">
        <f>'S.E SAMULA SF6'!H167</f>
        <v>0</v>
      </c>
      <c r="I19" s="41">
        <f>'S.E SAMULA SF6'!I167</f>
        <v>0</v>
      </c>
      <c r="J19" s="41">
        <f>'S.E SAMULA SF6'!J167</f>
        <v>0</v>
      </c>
      <c r="K19" s="41">
        <f>'S.E SAMULA SF6'!K167</f>
        <v>0</v>
      </c>
      <c r="L19" s="41">
        <f>'S.E SAMULA SF6'!L167</f>
        <v>0</v>
      </c>
      <c r="M19" s="41">
        <f>'S.E SAMULA SF6'!M167</f>
        <v>0</v>
      </c>
      <c r="N19" s="41">
        <f>'S.E SAMULA SF6'!N167</f>
        <v>0</v>
      </c>
      <c r="O19" s="79"/>
      <c r="P19" s="43">
        <f t="shared" si="0"/>
        <v>36123.31858608</v>
      </c>
    </row>
    <row r="20" spans="1:16" s="24" customFormat="1" x14ac:dyDescent="0.25">
      <c r="A20" s="38" t="s">
        <v>343</v>
      </c>
      <c r="B20" s="38" t="s">
        <v>64</v>
      </c>
      <c r="C20" s="41">
        <f>'S.E XPUJIL'!B58</f>
        <v>0</v>
      </c>
      <c r="D20" s="41">
        <f>'S.E XPUJIL'!D58</f>
        <v>0</v>
      </c>
      <c r="E20" s="41">
        <f>'S.E XPUJIL'!E58</f>
        <v>0</v>
      </c>
      <c r="F20" s="41">
        <f>'S.E XPUJIL'!F58</f>
        <v>0</v>
      </c>
      <c r="G20" s="41">
        <f>'S.E XPUJIL'!G58</f>
        <v>5483.3316240000004</v>
      </c>
      <c r="H20" s="41">
        <f>'S.E XPUJIL'!H58</f>
        <v>0</v>
      </c>
      <c r="I20" s="41">
        <f>'S.E XPUJIL'!I58</f>
        <v>0</v>
      </c>
      <c r="J20" s="41">
        <f>'S.E XPUJIL'!J58</f>
        <v>0</v>
      </c>
      <c r="K20" s="41">
        <f>'S.E XPUJIL'!K58</f>
        <v>0</v>
      </c>
      <c r="L20" s="41">
        <f>'S.E XPUJIL'!L58</f>
        <v>0</v>
      </c>
      <c r="M20" s="41">
        <f>'S.E XPUJIL'!M58</f>
        <v>0</v>
      </c>
      <c r="N20" s="41">
        <f>'S.E XPUJIL'!N58</f>
        <v>0</v>
      </c>
      <c r="O20" s="79"/>
      <c r="P20" s="43">
        <f t="shared" si="0"/>
        <v>5483.3316240000004</v>
      </c>
    </row>
    <row r="21" spans="1:16" s="24" customFormat="1" x14ac:dyDescent="0.25">
      <c r="A21" s="38" t="s">
        <v>344</v>
      </c>
      <c r="B21" s="38" t="s">
        <v>65</v>
      </c>
      <c r="C21" s="41">
        <f>'SE. AHKIMPECH'!C65</f>
        <v>0</v>
      </c>
      <c r="D21" s="41">
        <f>'SE. AHKIMPECH'!D65</f>
        <v>0</v>
      </c>
      <c r="E21" s="41">
        <f>'SE. AHKIMPECH'!E65</f>
        <v>0</v>
      </c>
      <c r="F21" s="41">
        <f>'SE. AHKIMPECH'!F65</f>
        <v>0</v>
      </c>
      <c r="G21" s="41">
        <f>'SE. AHKIMPECH'!G65</f>
        <v>16357.833495999999</v>
      </c>
      <c r="H21" s="41">
        <f>'SE. AHKIMPECH'!H65</f>
        <v>0</v>
      </c>
      <c r="I21" s="41">
        <f>'SE. AHKIMPECH'!I65</f>
        <v>0</v>
      </c>
      <c r="J21" s="41">
        <f>'SE. AHKIMPECH'!J65</f>
        <v>0</v>
      </c>
      <c r="K21" s="41">
        <f>'SE. AHKIMPECH'!K65</f>
        <v>0</v>
      </c>
      <c r="L21" s="41">
        <f>'SE. AHKIMPECH'!L65</f>
        <v>0</v>
      </c>
      <c r="M21" s="41">
        <f>'SE. AHKIMPECH'!M65</f>
        <v>0</v>
      </c>
      <c r="N21" s="41">
        <f>'SE. AHKIMPECH'!N65</f>
        <v>0</v>
      </c>
      <c r="O21" s="79"/>
      <c r="P21" s="43">
        <f t="shared" si="0"/>
        <v>16357.833495999999</v>
      </c>
    </row>
    <row r="22" spans="1:16" s="24" customFormat="1" x14ac:dyDescent="0.25">
      <c r="A22" s="38" t="s">
        <v>345</v>
      </c>
      <c r="B22" s="38" t="s">
        <v>68</v>
      </c>
      <c r="C22" s="41">
        <f>'SE. SIHOCHAC'!B78</f>
        <v>0</v>
      </c>
      <c r="D22" s="41">
        <f>'SE. SIHOCHAC'!D78</f>
        <v>0</v>
      </c>
      <c r="E22" s="41">
        <f>'SE. SIHOCHAC'!E78</f>
        <v>0</v>
      </c>
      <c r="F22" s="41">
        <f>'SE. SIHOCHAC'!F78</f>
        <v>0</v>
      </c>
      <c r="G22" s="41">
        <f>'SE. SIHOCHAC'!G78</f>
        <v>3064</v>
      </c>
      <c r="H22" s="41">
        <f>'SE. SIHOCHAC'!H78</f>
        <v>0</v>
      </c>
      <c r="I22" s="41">
        <f>'SE. SIHOCHAC'!I78</f>
        <v>0</v>
      </c>
      <c r="J22" s="41">
        <f>'SE. SIHOCHAC'!J78</f>
        <v>0</v>
      </c>
      <c r="K22" s="41">
        <f>'SE. SIHOCHAC'!K78</f>
        <v>0</v>
      </c>
      <c r="L22" s="41">
        <f>'SE. SIHOCHAC'!L78</f>
        <v>0</v>
      </c>
      <c r="M22" s="41">
        <f>'SE. SIHOCHAC'!M78</f>
        <v>0</v>
      </c>
      <c r="N22" s="41">
        <f>'SE. SIHOCHAC'!N78</f>
        <v>0</v>
      </c>
      <c r="O22" s="79"/>
      <c r="P22" s="43">
        <f t="shared" si="0"/>
        <v>3064</v>
      </c>
    </row>
    <row r="23" spans="1:16" x14ac:dyDescent="0.25">
      <c r="A23" s="38" t="s">
        <v>346</v>
      </c>
      <c r="B23" s="38" t="s">
        <v>151</v>
      </c>
      <c r="C23" s="41">
        <f>'S.E SABANCUY'!B44</f>
        <v>0</v>
      </c>
      <c r="D23" s="41">
        <f>'S.E SABANCUY'!D44</f>
        <v>0</v>
      </c>
      <c r="E23" s="41">
        <f>'S.E SABANCUY'!E44</f>
        <v>0</v>
      </c>
      <c r="F23" s="41">
        <f>'S.E SABANCUY'!F44</f>
        <v>0</v>
      </c>
      <c r="G23" s="41">
        <f>'S.E SABANCUY'!G44</f>
        <v>3879.9216710000001</v>
      </c>
      <c r="H23" s="41">
        <f>'S.E SABANCUY'!H44</f>
        <v>0</v>
      </c>
      <c r="I23" s="41">
        <f>'S.E SABANCUY'!I44</f>
        <v>0</v>
      </c>
      <c r="J23" s="41">
        <f>'S.E SABANCUY'!J44</f>
        <v>0</v>
      </c>
      <c r="K23" s="41">
        <f>'S.E SABANCUY'!K44</f>
        <v>0</v>
      </c>
      <c r="L23" s="41">
        <f>'S.E SABANCUY'!L44</f>
        <v>0</v>
      </c>
      <c r="M23" s="41">
        <f>'S.E SABANCUY'!M44</f>
        <v>0</v>
      </c>
      <c r="N23" s="41">
        <f>'S.E SABANCUY'!N44</f>
        <v>0</v>
      </c>
      <c r="O23" s="79"/>
      <c r="P23" s="43">
        <f t="shared" si="0"/>
        <v>3879.9216710000001</v>
      </c>
    </row>
    <row r="24" spans="1:16" x14ac:dyDescent="0.25">
      <c r="A24" s="38" t="s">
        <v>347</v>
      </c>
      <c r="B24" s="38" t="s">
        <v>364</v>
      </c>
      <c r="C24" s="41">
        <f>'S.E HOPELCHEN DOS'!B48</f>
        <v>0</v>
      </c>
      <c r="D24" s="41">
        <f>'S.E HOPELCHEN DOS'!D48</f>
        <v>0</v>
      </c>
      <c r="E24" s="41">
        <f>'S.E HOPELCHEN DOS'!E48</f>
        <v>0</v>
      </c>
      <c r="F24" s="41">
        <f>'S.E HOPELCHEN DOS'!F48</f>
        <v>0</v>
      </c>
      <c r="G24" s="41">
        <f>'S.E HOPELCHEN DOS'!G48</f>
        <v>8567.9300129999992</v>
      </c>
      <c r="H24" s="41">
        <f>'S.E HOPELCHEN DOS'!H48</f>
        <v>0</v>
      </c>
      <c r="I24" s="41">
        <f>'S.E HOPELCHEN DOS'!I48</f>
        <v>0</v>
      </c>
      <c r="J24" s="41">
        <f>'S.E HOPELCHEN DOS'!J48</f>
        <v>0</v>
      </c>
      <c r="K24" s="41">
        <f>'S.E HOPELCHEN DOS'!K48</f>
        <v>0</v>
      </c>
      <c r="L24" s="41">
        <f>'S.E HOPELCHEN DOS'!L48</f>
        <v>0</v>
      </c>
      <c r="M24" s="41">
        <f>'S.E HOPELCHEN DOS'!M48</f>
        <v>0</v>
      </c>
      <c r="N24" s="41">
        <f>'S.E HOPELCHEN DOS'!N48</f>
        <v>0</v>
      </c>
      <c r="O24" s="79"/>
      <c r="P24" s="43">
        <f t="shared" si="0"/>
        <v>8567.9300129999992</v>
      </c>
    </row>
    <row r="25" spans="1:16" x14ac:dyDescent="0.25">
      <c r="A25" s="38" t="s">
        <v>372</v>
      </c>
      <c r="B25" s="38" t="s">
        <v>363</v>
      </c>
      <c r="C25" s="41">
        <f>'S.E CANDELARIA DOS'!B32</f>
        <v>0</v>
      </c>
      <c r="D25" s="41">
        <f>'S.E CANDELARIA DOS'!D32</f>
        <v>0</v>
      </c>
      <c r="E25" s="41">
        <f>'S.E CANDELARIA DOS'!E32</f>
        <v>0</v>
      </c>
      <c r="F25" s="41">
        <f>'S.E CANDELARIA DOS'!F32</f>
        <v>0</v>
      </c>
      <c r="G25" s="41">
        <f>'S.E CANDELARIA DOS'!G32</f>
        <v>10523.166503</v>
      </c>
      <c r="H25" s="41">
        <f>'S.E CANDELARIA DOS'!H32</f>
        <v>0</v>
      </c>
      <c r="I25" s="41">
        <f>'S.E CANDELARIA DOS'!I32</f>
        <v>0</v>
      </c>
      <c r="J25" s="41">
        <f>'S.E CANDELARIA DOS'!J32</f>
        <v>0</v>
      </c>
      <c r="K25" s="41">
        <f>'S.E CANDELARIA DOS'!K32</f>
        <v>0</v>
      </c>
      <c r="L25" s="41">
        <f>'S.E CANDELARIA DOS'!L32</f>
        <v>0</v>
      </c>
      <c r="M25" s="41">
        <f>'S.E CANDELARIA DOS'!M32</f>
        <v>0</v>
      </c>
      <c r="N25" s="41">
        <f>'S.E CANDELARIA DOS'!N32</f>
        <v>0</v>
      </c>
      <c r="O25" s="79"/>
      <c r="P25" s="43">
        <f t="shared" si="0"/>
        <v>10523.166503</v>
      </c>
    </row>
    <row r="26" spans="1:16" x14ac:dyDescent="0.25">
      <c r="B26" s="7" t="s">
        <v>33</v>
      </c>
      <c r="C26" s="210">
        <f>SUM(C10:C25)</f>
        <v>0</v>
      </c>
      <c r="D26" s="210">
        <f t="shared" ref="D26:N26" si="1">SUM(D10:D25)</f>
        <v>4936.2296247550003</v>
      </c>
      <c r="E26" s="210">
        <f t="shared" si="1"/>
        <v>5998.1896905000003</v>
      </c>
      <c r="F26" s="210">
        <f t="shared" si="1"/>
        <v>5388.08</v>
      </c>
      <c r="G26" s="210">
        <f t="shared" si="1"/>
        <v>228919.13413629</v>
      </c>
      <c r="H26" s="210">
        <f t="shared" si="1"/>
        <v>0</v>
      </c>
      <c r="I26" s="210">
        <f t="shared" si="1"/>
        <v>0</v>
      </c>
      <c r="J26" s="210">
        <f t="shared" si="1"/>
        <v>0</v>
      </c>
      <c r="K26" s="210">
        <f t="shared" si="1"/>
        <v>0</v>
      </c>
      <c r="L26" s="210">
        <f t="shared" si="1"/>
        <v>0</v>
      </c>
      <c r="M26" s="210">
        <f t="shared" si="1"/>
        <v>0</v>
      </c>
      <c r="N26" s="210">
        <f t="shared" si="1"/>
        <v>0</v>
      </c>
      <c r="O26" s="8"/>
      <c r="P26" s="241">
        <f>SUM(P10:P25)</f>
        <v>228919.13413629</v>
      </c>
    </row>
    <row r="28" spans="1:16" x14ac:dyDescent="0.25">
      <c r="G28" s="132"/>
      <c r="N28" s="133"/>
    </row>
    <row r="29" spans="1:16" x14ac:dyDescent="0.25">
      <c r="G29" s="132"/>
      <c r="N29" s="133"/>
    </row>
    <row r="30" spans="1:16" x14ac:dyDescent="0.25">
      <c r="G30" s="132"/>
      <c r="N30" s="133"/>
    </row>
    <row r="31" spans="1:16" x14ac:dyDescent="0.25">
      <c r="B31" s="134"/>
      <c r="G31" s="132"/>
      <c r="N31" s="133"/>
    </row>
    <row r="32" spans="1:16" x14ac:dyDescent="0.25">
      <c r="G32" s="132"/>
    </row>
    <row r="33" spans="7:8" x14ac:dyDescent="0.25">
      <c r="G33" s="132"/>
      <c r="H33" s="132"/>
    </row>
  </sheetData>
  <mergeCells count="4">
    <mergeCell ref="E3:M3"/>
    <mergeCell ref="E4:M4"/>
    <mergeCell ref="E5:M5"/>
    <mergeCell ref="E6:M6"/>
  </mergeCells>
  <phoneticPr fontId="37" type="noConversion"/>
  <printOptions horizontalCentered="1" verticalCentered="1"/>
  <pageMargins left="0.19685039370078741" right="0.19685039370078741" top="0.19685039370078741" bottom="0.19685039370078741" header="0" footer="0"/>
  <pageSetup scale="95" orientation="landscape" horizontalDpi="300" verticalDpi="300" r:id="rId1"/>
  <headerFooter alignWithMargins="0">
    <oddFooter>&amp;RElaboro: Departamento de Planeacion Campeche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Hoja13">
    <tabColor theme="8" tint="0.59999389629810485"/>
  </sheetPr>
  <dimension ref="A1:AB196"/>
  <sheetViews>
    <sheetView zoomScale="120" zoomScaleNormal="120" workbookViewId="0">
      <selection activeCell="B24" sqref="B24:N24"/>
    </sheetView>
  </sheetViews>
  <sheetFormatPr baseColWidth="10" defaultRowHeight="13.2" x14ac:dyDescent="0.25"/>
  <cols>
    <col min="1" max="16" width="15.6640625" customWidth="1"/>
    <col min="18" max="18" width="11.6640625" bestFit="1" customWidth="1"/>
    <col min="21" max="21" width="15.5546875" bestFit="1" customWidth="1"/>
    <col min="24" max="24" width="19.88671875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69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471</v>
      </c>
      <c r="B12" s="65"/>
      <c r="C12" s="65"/>
      <c r="D12" s="65"/>
      <c r="E12" s="65"/>
      <c r="F12" s="65"/>
      <c r="G12" s="66"/>
      <c r="H12" s="66"/>
      <c r="I12" s="66"/>
      <c r="J12" s="66"/>
      <c r="K12" s="36"/>
      <c r="L12" s="36"/>
      <c r="M12" s="36"/>
      <c r="N12" s="36"/>
      <c r="O12" s="36"/>
      <c r="P12" s="36"/>
    </row>
    <row r="13" spans="1:16" x14ac:dyDescent="0.25">
      <c r="A13" s="120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587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3">
        <f>MAX(B13:N13)</f>
        <v>587</v>
      </c>
    </row>
    <row r="14" spans="1:16" x14ac:dyDescent="0.25">
      <c r="A14" s="120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196893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196893</v>
      </c>
      <c r="P14" s="43">
        <f>SUM(B14:N14)/(COUNTIF(B14:N14,"&gt;0"))</f>
        <v>196893</v>
      </c>
    </row>
    <row r="15" spans="1:16" x14ac:dyDescent="0.25">
      <c r="A15" s="120" t="s">
        <v>16</v>
      </c>
      <c r="B15" s="37" t="e">
        <f t="shared" ref="B15:I15" si="0">+((B13/B17)^2-(B13^2))^(0.5)</f>
        <v>#DIV/0!</v>
      </c>
      <c r="C15" s="37" t="e">
        <f>+((C13/C17)^2-(C13^2))^(0.5)</f>
        <v>#DIV/0!</v>
      </c>
      <c r="D15" s="37" t="e">
        <f t="shared" si="0"/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20.343432169893379</v>
      </c>
      <c r="H15" s="37" t="e">
        <f t="shared" si="0"/>
        <v>#DIV/0!</v>
      </c>
      <c r="I15" s="37" t="e">
        <f t="shared" si="0"/>
        <v>#DIV/0!</v>
      </c>
      <c r="J15" s="182" t="e">
        <f>+((J13/J17)^2-(J13^2))^(0.5)</f>
        <v>#DIV/0!</v>
      </c>
      <c r="K15" s="182" t="e">
        <f>+((K13/K17)^2-(K13^2))^(0.5)</f>
        <v>#DIV/0!</v>
      </c>
      <c r="L15" s="182" t="e">
        <f>+((L13/L17)^2-(L13^2))^(0.5)</f>
        <v>#DIV/0!</v>
      </c>
      <c r="M15" s="182" t="e">
        <f>+((M13/M17)^2-(M13^2))^(0.5)</f>
        <v>#DIV/0!</v>
      </c>
      <c r="N15" s="37" t="e">
        <f>+((N13/N17)^2-(N13^2))^(0.5)</f>
        <v>#DIV/0!</v>
      </c>
      <c r="O15" s="37"/>
      <c r="P15" s="4">
        <f>HLOOKUP(P13,B13:N15,3,FALSE)</f>
        <v>20.343432169893379</v>
      </c>
    </row>
    <row r="16" spans="1:16" x14ac:dyDescent="0.25">
      <c r="A16" s="120" t="s">
        <v>8</v>
      </c>
      <c r="B16" s="37">
        <f t="shared" ref="B16:I16" si="1">+B14/(24*B$8)</f>
        <v>0</v>
      </c>
      <c r="C16" s="37">
        <f>+C14/(24*C$8)</f>
        <v>0</v>
      </c>
      <c r="D16" s="37">
        <f t="shared" si="1"/>
        <v>0</v>
      </c>
      <c r="E16" s="37">
        <f t="shared" si="1"/>
        <v>0</v>
      </c>
      <c r="F16" s="37">
        <f t="shared" si="1"/>
        <v>0</v>
      </c>
      <c r="G16" s="37">
        <f t="shared" si="1"/>
        <v>264.64112903225805</v>
      </c>
      <c r="H16" s="37">
        <f t="shared" si="1"/>
        <v>0</v>
      </c>
      <c r="I16" s="37">
        <f t="shared" si="1"/>
        <v>0</v>
      </c>
      <c r="J16" s="182">
        <f>+J14/(24*J$8)</f>
        <v>0</v>
      </c>
      <c r="K16" s="182">
        <f>+K14/(24*K$8)</f>
        <v>0</v>
      </c>
      <c r="L16" s="182">
        <f>+L14/(24*L$8)</f>
        <v>0</v>
      </c>
      <c r="M16" s="182">
        <f>+M14/(24*M$8)</f>
        <v>0</v>
      </c>
      <c r="N16" s="37">
        <f>+N14/(24*N$8)</f>
        <v>0</v>
      </c>
      <c r="O16" s="6">
        <f>SUM(O14)/(24*O$8)</f>
        <v>22.476369863013698</v>
      </c>
      <c r="P16" s="4">
        <f>O14/(COUNTIF(B14:N14,"&gt;0")*720)</f>
        <v>273.46249999999998</v>
      </c>
    </row>
    <row r="17" spans="1:28" x14ac:dyDescent="0.25">
      <c r="A17" s="120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0.99939999999999996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0.99939999999999996</v>
      </c>
    </row>
    <row r="18" spans="1:28" x14ac:dyDescent="0.25">
      <c r="A18" s="120" t="s">
        <v>17</v>
      </c>
      <c r="B18" s="37" t="e">
        <f t="shared" ref="B18:I18" si="2">+B16/B13</f>
        <v>#DIV/0!</v>
      </c>
      <c r="C18" s="37" t="e">
        <f>+C16/C13</f>
        <v>#DIV/0!</v>
      </c>
      <c r="D18" s="37" t="e">
        <f t="shared" si="2"/>
        <v>#DIV/0!</v>
      </c>
      <c r="E18" s="37" t="e">
        <f t="shared" si="2"/>
        <v>#DIV/0!</v>
      </c>
      <c r="F18" s="37" t="e">
        <f t="shared" si="2"/>
        <v>#DIV/0!</v>
      </c>
      <c r="G18" s="37">
        <f t="shared" si="2"/>
        <v>0.45083667637522667</v>
      </c>
      <c r="H18" s="37" t="e">
        <f t="shared" si="2"/>
        <v>#DIV/0!</v>
      </c>
      <c r="I18" s="37" t="e">
        <f t="shared" si="2"/>
        <v>#DIV/0!</v>
      </c>
      <c r="J18" s="182" t="e">
        <f>+J16/J13</f>
        <v>#DIV/0!</v>
      </c>
      <c r="K18" s="182" t="e">
        <f>+K16/K13</f>
        <v>#DIV/0!</v>
      </c>
      <c r="L18" s="182" t="e">
        <f>+L16/L13</f>
        <v>#DIV/0!</v>
      </c>
      <c r="M18" s="182" t="e">
        <f>+M16/M13</f>
        <v>#DIV/0!</v>
      </c>
      <c r="N18" s="37" t="e">
        <f>+N16/N13</f>
        <v>#DIV/0!</v>
      </c>
      <c r="O18" s="6"/>
      <c r="P18" s="4">
        <f>+P16/P13</f>
        <v>0.4658645655877342</v>
      </c>
    </row>
    <row r="19" spans="1:28" s="24" customFormat="1" x14ac:dyDescent="0.25">
      <c r="A19" s="271" t="s">
        <v>472</v>
      </c>
      <c r="B19" s="65"/>
      <c r="C19" s="65"/>
      <c r="D19" s="65"/>
      <c r="E19" s="65"/>
      <c r="F19" s="65"/>
      <c r="G19" s="66"/>
      <c r="H19" s="66"/>
      <c r="I19" s="66"/>
      <c r="J19" s="66"/>
      <c r="K19" s="36"/>
      <c r="L19" s="36"/>
      <c r="M19" s="36"/>
      <c r="N19" s="36"/>
      <c r="O19" s="36"/>
      <c r="P19" s="36"/>
    </row>
    <row r="20" spans="1:28" x14ac:dyDescent="0.25">
      <c r="A20" s="120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153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153</v>
      </c>
    </row>
    <row r="21" spans="1:28" x14ac:dyDescent="0.25">
      <c r="A21" s="120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172088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172088</v>
      </c>
      <c r="P21" s="43">
        <f>SUM(B21:N21)/(COUNTIF(B21:N21,"&gt;0"))</f>
        <v>172088</v>
      </c>
    </row>
    <row r="22" spans="1:28" x14ac:dyDescent="0.25">
      <c r="A22" s="120" t="s">
        <v>16</v>
      </c>
      <c r="B22" s="37" t="e">
        <f t="shared" ref="B22:I22" si="3">+((B20/B24)^2-(B20^2))^(0.5)</f>
        <v>#DIV/0!</v>
      </c>
      <c r="C22" s="37" t="e">
        <f>+((C20/C24)^2-(C20^2))^(0.5)</f>
        <v>#DIV/0!</v>
      </c>
      <c r="D22" s="37" t="e">
        <f t="shared" si="3"/>
        <v>#DIV/0!</v>
      </c>
      <c r="E22" s="37" t="e">
        <f t="shared" si="3"/>
        <v>#DIV/0!</v>
      </c>
      <c r="F22" s="37" t="e">
        <f>+((F20/F24)^2-(F20^2))^(0.5)</f>
        <v>#DIV/0!</v>
      </c>
      <c r="G22" s="37">
        <f t="shared" si="3"/>
        <v>13.017654563920715</v>
      </c>
      <c r="H22" s="37" t="e">
        <f t="shared" si="3"/>
        <v>#DIV/0!</v>
      </c>
      <c r="I22" s="37" t="e">
        <f t="shared" si="3"/>
        <v>#DIV/0!</v>
      </c>
      <c r="J22" s="182" t="e">
        <f>+((J20/J24)^2-(J20^2))^(0.5)</f>
        <v>#DIV/0!</v>
      </c>
      <c r="K22" s="182" t="e">
        <f>+((K20/K24)^2-(K20^2))^(0.5)</f>
        <v>#DIV/0!</v>
      </c>
      <c r="L22" s="182" t="e">
        <f>+((L20/L24)^2-(L20^2))^(0.5)</f>
        <v>#DIV/0!</v>
      </c>
      <c r="M22" s="182" t="e">
        <f>+((M20/M24)^2-(M20^2))^(0.5)</f>
        <v>#DIV/0!</v>
      </c>
      <c r="N22" s="37" t="e">
        <f>+((N20/N24)^2-(N20^2))^(0.5)</f>
        <v>#DIV/0!</v>
      </c>
      <c r="O22" s="37"/>
      <c r="P22" s="4">
        <f>HLOOKUP(P20,B20:N22,3,FALSE)</f>
        <v>13.017654563920715</v>
      </c>
    </row>
    <row r="23" spans="1:28" x14ac:dyDescent="0.25">
      <c r="A23" s="120" t="s">
        <v>8</v>
      </c>
      <c r="B23" s="37">
        <f t="shared" ref="B23:I23" si="4">+B21/(24*B$8)</f>
        <v>0</v>
      </c>
      <c r="C23" s="37">
        <f>+C21/(24*C$8)</f>
        <v>0</v>
      </c>
      <c r="D23" s="37">
        <f t="shared" si="4"/>
        <v>0</v>
      </c>
      <c r="E23" s="37">
        <f t="shared" si="4"/>
        <v>0</v>
      </c>
      <c r="F23" s="37">
        <f t="shared" si="4"/>
        <v>0</v>
      </c>
      <c r="G23" s="37">
        <f t="shared" si="4"/>
        <v>231.30107526881721</v>
      </c>
      <c r="H23" s="37">
        <f t="shared" si="4"/>
        <v>0</v>
      </c>
      <c r="I23" s="37">
        <f t="shared" si="4"/>
        <v>0</v>
      </c>
      <c r="J23" s="182">
        <f>+J21/(24*J$8)</f>
        <v>0</v>
      </c>
      <c r="K23" s="182">
        <f>+K21/(24*K$8)</f>
        <v>0</v>
      </c>
      <c r="L23" s="182">
        <f>+L21/(24*L$8)</f>
        <v>0</v>
      </c>
      <c r="M23" s="182">
        <f>+M21/(24*M$8)</f>
        <v>0</v>
      </c>
      <c r="N23" s="37">
        <f>+N21/(24*N$8)</f>
        <v>0</v>
      </c>
      <c r="O23" s="6">
        <f>SUM(O21)/(24*O$8)</f>
        <v>19.644748858447489</v>
      </c>
      <c r="P23" s="4">
        <f>O21/(COUNTIF(B21:N21,"&gt;0")*720)</f>
        <v>239.01111111111112</v>
      </c>
    </row>
    <row r="24" spans="1:28" x14ac:dyDescent="0.25">
      <c r="A24" s="120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0.99639999999999995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0.99640000000000006</v>
      </c>
    </row>
    <row r="25" spans="1:28" x14ac:dyDescent="0.25">
      <c r="A25" s="120" t="s">
        <v>17</v>
      </c>
      <c r="B25" s="37" t="e">
        <f t="shared" ref="B25:N25" si="5">+B23/B20</f>
        <v>#DIV/0!</v>
      </c>
      <c r="C25" s="37" t="e">
        <f>+C23/C20</f>
        <v>#DIV/0!</v>
      </c>
      <c r="D25" s="37" t="e">
        <f t="shared" si="5"/>
        <v>#DIV/0!</v>
      </c>
      <c r="E25" s="37" t="e">
        <f t="shared" si="5"/>
        <v>#DIV/0!</v>
      </c>
      <c r="F25" s="37" t="e">
        <f t="shared" si="5"/>
        <v>#DIV/0!</v>
      </c>
      <c r="G25" s="37">
        <f t="shared" si="5"/>
        <v>1.5117717337831191</v>
      </c>
      <c r="H25" s="37" t="e">
        <f t="shared" si="5"/>
        <v>#DIV/0!</v>
      </c>
      <c r="I25" s="37" t="e">
        <f t="shared" si="5"/>
        <v>#DIV/0!</v>
      </c>
      <c r="J25" s="182" t="e">
        <f t="shared" si="5"/>
        <v>#DIV/0!</v>
      </c>
      <c r="K25" s="182" t="e">
        <f t="shared" si="5"/>
        <v>#DIV/0!</v>
      </c>
      <c r="L25" s="182" t="e">
        <f t="shared" si="5"/>
        <v>#DIV/0!</v>
      </c>
      <c r="M25" s="182" t="e">
        <f t="shared" si="5"/>
        <v>#DIV/0!</v>
      </c>
      <c r="N25" s="37" t="e">
        <f t="shared" si="5"/>
        <v>#DIV/0!</v>
      </c>
      <c r="O25" s="6"/>
      <c r="P25" s="4">
        <f>+P23/P20</f>
        <v>1.5621641249092231</v>
      </c>
    </row>
    <row r="26" spans="1:28" s="24" customFormat="1" x14ac:dyDescent="0.25">
      <c r="A26" s="271" t="s">
        <v>503</v>
      </c>
      <c r="B26" s="271" t="s">
        <v>502</v>
      </c>
      <c r="C26" s="65"/>
      <c r="D26" s="65"/>
      <c r="E26" s="65"/>
      <c r="F26" s="65"/>
      <c r="G26" s="66"/>
      <c r="H26" s="66"/>
      <c r="I26" s="66"/>
      <c r="J26" s="66"/>
      <c r="K26" s="36"/>
      <c r="L26" s="36"/>
      <c r="M26" s="36"/>
      <c r="N26" s="36"/>
      <c r="O26" s="36"/>
      <c r="P26" s="36"/>
    </row>
    <row r="27" spans="1:28" x14ac:dyDescent="0.25">
      <c r="A27" s="120" t="s">
        <v>6</v>
      </c>
      <c r="B27" s="381" t="e">
        <f>VLOOKUP($A$26,TABLA_1[],5,FALSE)</f>
        <v>#N/A</v>
      </c>
      <c r="C27" s="381" t="e">
        <f>VLOOKUP($A$26,TABLA_2[],5,FALSE)</f>
        <v>#N/A</v>
      </c>
      <c r="D27" s="381" t="e">
        <f>VLOOKUP($A$26,TABLA_3[],5,FALSE)</f>
        <v>#N/A</v>
      </c>
      <c r="E27" s="381" t="e">
        <f>VLOOKUP($A$26,TABLA_4[],5,FALSE)</f>
        <v>#N/A</v>
      </c>
      <c r="F27" s="381" t="e">
        <f>VLOOKUP($A$26,TABLA_5[],5,FALSE)</f>
        <v>#N/A</v>
      </c>
      <c r="G27" s="381" t="e">
        <f>VLOOKUP($A$26,TABLA_6[],5,FALSE)</f>
        <v>#N/A</v>
      </c>
      <c r="H27" s="381" t="e">
        <f>VLOOKUP($A$26,TABLA_7[],5,FALSE)</f>
        <v>#N/A</v>
      </c>
      <c r="I27" s="381" t="e">
        <f>VLOOKUP($A$26,TABLA_8[],5,FALSE)</f>
        <v>#N/A</v>
      </c>
      <c r="J27" s="381" t="e">
        <f>VLOOKUP($A$26,TABLA_9[],5,FALSE)</f>
        <v>#N/A</v>
      </c>
      <c r="K27" s="381" t="e">
        <f>VLOOKUP($A$26,TABLA_10[],5,FALSE)</f>
        <v>#N/A</v>
      </c>
      <c r="L27" s="381" t="e">
        <f>VLOOKUP($A$26,TABLA_11[],5,FALSE)</f>
        <v>#N/A</v>
      </c>
      <c r="M27" s="381" t="e">
        <f>VLOOKUP($A$26,TABLA_12[],5,FALSE)</f>
        <v>#N/A</v>
      </c>
      <c r="N27" s="381" t="e">
        <f>VLOOKUP($A$26,TABLA_13[],5,FALSE)</f>
        <v>#N/A</v>
      </c>
      <c r="O27" s="6"/>
      <c r="P27" s="43" t="e">
        <f>MAX(B27:N27)</f>
        <v>#N/A</v>
      </c>
    </row>
    <row r="28" spans="1:28" x14ac:dyDescent="0.25">
      <c r="A28" s="120" t="s">
        <v>7</v>
      </c>
      <c r="B28" s="382" t="e">
        <f>VLOOKUP($A$26,TABLA_1[],8,FALSE)</f>
        <v>#N/A</v>
      </c>
      <c r="C28" s="382" t="e">
        <f>VLOOKUP($A$26,TABLA_2[],8,FALSE)</f>
        <v>#N/A</v>
      </c>
      <c r="D28" s="382" t="e">
        <f>VLOOKUP($A$26,TABLA_3[],8,FALSE)</f>
        <v>#N/A</v>
      </c>
      <c r="E28" s="382" t="e">
        <f>VLOOKUP($A$26,TABLA_4[],8,FALSE)</f>
        <v>#N/A</v>
      </c>
      <c r="F28" s="382" t="e">
        <f>VLOOKUP($A$26,TABLA_5[],8,FALSE)</f>
        <v>#N/A</v>
      </c>
      <c r="G28" s="382" t="e">
        <f>VLOOKUP($A$26,TABLA_6[],8,FALSE)</f>
        <v>#N/A</v>
      </c>
      <c r="H28" s="382" t="e">
        <f>VLOOKUP($A$26,TABLA_7[],8,FALSE)</f>
        <v>#N/A</v>
      </c>
      <c r="I28" s="382" t="e">
        <f>VLOOKUP($A$26,TABLA_8[],8,FALSE)</f>
        <v>#N/A</v>
      </c>
      <c r="J28" s="382" t="e">
        <f>VLOOKUP($A$26,TABLA_9[],8,FALSE)</f>
        <v>#N/A</v>
      </c>
      <c r="K28" s="382" t="e">
        <f>VLOOKUP($A$26,TABLA_10[],8,FALSE)</f>
        <v>#N/A</v>
      </c>
      <c r="L28" s="382" t="e">
        <f>VLOOKUP($A$26,TABLA_11[],8,FALSE)</f>
        <v>#N/A</v>
      </c>
      <c r="M28" s="382" t="e">
        <f>VLOOKUP($A$26,TABLA_12[],8,FALSE)</f>
        <v>#N/A</v>
      </c>
      <c r="N28" s="382" t="e">
        <f>VLOOKUP($A$26,TABLA_13[],8,FALSE)</f>
        <v>#N/A</v>
      </c>
      <c r="O28" s="47" t="e">
        <f>SUM(B28:N28)</f>
        <v>#N/A</v>
      </c>
      <c r="P28" s="43" t="e">
        <f>SUM(B28:N28)/(COUNTIF(B28:N28,"&gt;0"))</f>
        <v>#N/A</v>
      </c>
    </row>
    <row r="29" spans="1:28" x14ac:dyDescent="0.25">
      <c r="A29" s="120" t="s">
        <v>16</v>
      </c>
      <c r="B29" s="37" t="e">
        <f t="shared" ref="B29:I29" si="6">+((B27/B31)^2-(B27^2))^(0.5)</f>
        <v>#N/A</v>
      </c>
      <c r="C29" s="37" t="e">
        <f>+((C27/C31)^2-(C27^2))^(0.5)</f>
        <v>#N/A</v>
      </c>
      <c r="D29" s="37" t="e">
        <f t="shared" si="6"/>
        <v>#N/A</v>
      </c>
      <c r="E29" s="37" t="e">
        <f t="shared" si="6"/>
        <v>#N/A</v>
      </c>
      <c r="F29" s="37" t="e">
        <f t="shared" si="6"/>
        <v>#N/A</v>
      </c>
      <c r="G29" s="37" t="e">
        <f t="shared" si="6"/>
        <v>#N/A</v>
      </c>
      <c r="H29" s="37" t="e">
        <f t="shared" si="6"/>
        <v>#N/A</v>
      </c>
      <c r="I29" s="37" t="e">
        <f t="shared" si="6"/>
        <v>#N/A</v>
      </c>
      <c r="J29" s="182" t="e">
        <f>+((J27/J31)^2-(J27^2))^(0.5)</f>
        <v>#N/A</v>
      </c>
      <c r="K29" s="182" t="e">
        <f>+((K27/K31)^2-(K27^2))^(0.5)</f>
        <v>#N/A</v>
      </c>
      <c r="L29" s="182" t="e">
        <f>+((L27/L31)^2-(L27^2))^(0.5)</f>
        <v>#N/A</v>
      </c>
      <c r="M29" s="182" t="e">
        <f>+((M27/M31)^2-(M27^2))^(0.5)</f>
        <v>#N/A</v>
      </c>
      <c r="N29" s="37" t="e">
        <f>+((N27/N31)^2-(N27^2))^(0.5)</f>
        <v>#N/A</v>
      </c>
      <c r="O29" s="37"/>
      <c r="P29" s="4" t="e">
        <f>HLOOKUP(P27,B27:N29,3,FALSE)</f>
        <v>#N/A</v>
      </c>
      <c r="U29" s="256"/>
      <c r="X29" s="256"/>
    </row>
    <row r="30" spans="1:28" x14ac:dyDescent="0.25">
      <c r="A30" s="120" t="s">
        <v>8</v>
      </c>
      <c r="B30" s="37" t="e">
        <f t="shared" ref="B30:I30" si="7">+B28/(24*B$8)</f>
        <v>#N/A</v>
      </c>
      <c r="C30" s="37" t="e">
        <f>+C28/(24*C$8)</f>
        <v>#N/A</v>
      </c>
      <c r="D30" s="37" t="e">
        <f t="shared" si="7"/>
        <v>#N/A</v>
      </c>
      <c r="E30" s="37" t="e">
        <f t="shared" si="7"/>
        <v>#N/A</v>
      </c>
      <c r="F30" s="37" t="e">
        <f t="shared" si="7"/>
        <v>#N/A</v>
      </c>
      <c r="G30" s="37" t="e">
        <f t="shared" si="7"/>
        <v>#N/A</v>
      </c>
      <c r="H30" s="37" t="e">
        <f t="shared" si="7"/>
        <v>#N/A</v>
      </c>
      <c r="I30" s="37" t="e">
        <f t="shared" si="7"/>
        <v>#N/A</v>
      </c>
      <c r="J30" s="182" t="e">
        <f>+J28/(24*J$8)</f>
        <v>#N/A</v>
      </c>
      <c r="K30" s="182" t="e">
        <f>+K28/(24*K$8)</f>
        <v>#N/A</v>
      </c>
      <c r="L30" s="182" t="e">
        <f>+L28/(24*L$8)</f>
        <v>#N/A</v>
      </c>
      <c r="M30" s="182" t="e">
        <f>+M28/(24*M$8)</f>
        <v>#N/A</v>
      </c>
      <c r="N30" s="37" t="e">
        <f>+N28/(24*N$8)</f>
        <v>#N/A</v>
      </c>
      <c r="O30" s="6" t="e">
        <f>SUM(O28)/(24*O$8)</f>
        <v>#N/A</v>
      </c>
      <c r="P30" s="4" t="e">
        <f>O28/(COUNTIF(B28:N28,"&gt;0")*720)</f>
        <v>#N/A</v>
      </c>
    </row>
    <row r="31" spans="1:28" x14ac:dyDescent="0.25">
      <c r="A31" s="120" t="s">
        <v>9</v>
      </c>
      <c r="B31" s="383" t="e">
        <f>VLOOKUP($A$26,TABLA_1[],10,FALSE)</f>
        <v>#N/A</v>
      </c>
      <c r="C31" s="383" t="e">
        <f>VLOOKUP($A$26,TABLA_2[],10,FALSE)</f>
        <v>#N/A</v>
      </c>
      <c r="D31" s="383" t="e">
        <f>VLOOKUP($A$26,TABLA_3[],10,FALSE)</f>
        <v>#N/A</v>
      </c>
      <c r="E31" s="383" t="e">
        <f>VLOOKUP($A$26,TABLA_4[],10,FALSE)</f>
        <v>#N/A</v>
      </c>
      <c r="F31" s="383" t="e">
        <f>VLOOKUP($A$26,TABLA_5[],10,FALSE)</f>
        <v>#N/A</v>
      </c>
      <c r="G31" s="383" t="e">
        <f>VLOOKUP($A$26,TABLA_6[],10,FALSE)</f>
        <v>#N/A</v>
      </c>
      <c r="H31" s="383" t="e">
        <f>VLOOKUP($A$26,TABLA_7[],10,FALSE)</f>
        <v>#N/A</v>
      </c>
      <c r="I31" s="383" t="e">
        <f>VLOOKUP($A$26,TABLA_8[],10,FALSE)</f>
        <v>#N/A</v>
      </c>
      <c r="J31" s="383" t="e">
        <f>VLOOKUP($A$26,TABLA_9[],10,FALSE)</f>
        <v>#N/A</v>
      </c>
      <c r="K31" s="383" t="e">
        <f>VLOOKUP($A$26,TABLA_10[],10,FALSE)</f>
        <v>#N/A</v>
      </c>
      <c r="L31" s="383" t="e">
        <f>VLOOKUP($A$26,TABLA_11[],10,FALSE)</f>
        <v>#N/A</v>
      </c>
      <c r="M31" s="383" t="e">
        <f>VLOOKUP($A$26,TABLA_6[],10,FALSE)</f>
        <v>#N/A</v>
      </c>
      <c r="N31" s="383" t="e">
        <f>VLOOKUP($A$26,TABLA_6[],10,FALSE)</f>
        <v>#N/A</v>
      </c>
      <c r="O31" s="6"/>
      <c r="P31" s="4" t="e">
        <f>COS(ATAN(P29/P27))</f>
        <v>#N/A</v>
      </c>
      <c r="X31" s="39"/>
      <c r="Y31" s="39"/>
      <c r="AA31" s="39"/>
      <c r="AB31" s="39"/>
    </row>
    <row r="32" spans="1:28" x14ac:dyDescent="0.25">
      <c r="A32" s="120" t="s">
        <v>17</v>
      </c>
      <c r="B32" s="37" t="e">
        <f t="shared" ref="B32:I32" si="8">+B30/B27</f>
        <v>#N/A</v>
      </c>
      <c r="C32" s="37" t="e">
        <f>+C30/C27</f>
        <v>#N/A</v>
      </c>
      <c r="D32" s="37" t="e">
        <f t="shared" si="8"/>
        <v>#N/A</v>
      </c>
      <c r="E32" s="37" t="e">
        <f t="shared" si="8"/>
        <v>#N/A</v>
      </c>
      <c r="F32" s="37" t="e">
        <f t="shared" si="8"/>
        <v>#N/A</v>
      </c>
      <c r="G32" s="37" t="e">
        <f t="shared" si="8"/>
        <v>#N/A</v>
      </c>
      <c r="H32" s="37" t="e">
        <f t="shared" si="8"/>
        <v>#N/A</v>
      </c>
      <c r="I32" s="37" t="e">
        <f t="shared" si="8"/>
        <v>#N/A</v>
      </c>
      <c r="J32" s="182" t="e">
        <f>+J30/J27</f>
        <v>#N/A</v>
      </c>
      <c r="K32" s="182" t="e">
        <f>+K30/K27</f>
        <v>#N/A</v>
      </c>
      <c r="L32" s="182" t="e">
        <f>+L30/L27</f>
        <v>#N/A</v>
      </c>
      <c r="M32" s="182" t="e">
        <f>+M30/M27</f>
        <v>#N/A</v>
      </c>
      <c r="N32" s="37" t="e">
        <f>+N30/N27</f>
        <v>#N/A</v>
      </c>
      <c r="O32" s="6"/>
      <c r="P32" s="4" t="e">
        <f>+P30/P27</f>
        <v>#N/A</v>
      </c>
      <c r="U32" s="39"/>
      <c r="X32" s="39"/>
      <c r="AA32" s="39"/>
      <c r="AB32" s="39"/>
    </row>
    <row r="33" spans="1:28" x14ac:dyDescent="0.25">
      <c r="A33" s="24"/>
      <c r="B33" s="40"/>
      <c r="C33" s="40"/>
      <c r="D33" s="40"/>
      <c r="E33" s="40"/>
      <c r="F33" s="40"/>
      <c r="G33" s="24"/>
      <c r="H33" s="24"/>
      <c r="I33" s="24"/>
      <c r="J33" s="24"/>
      <c r="K33" s="24"/>
      <c r="L33" s="24"/>
      <c r="M33" s="24"/>
      <c r="N33" s="24"/>
      <c r="O33" s="24"/>
      <c r="U33" s="39"/>
      <c r="X33" s="39"/>
      <c r="Y33" s="39"/>
      <c r="AA33" s="39"/>
      <c r="AB33" s="39"/>
    </row>
    <row r="34" spans="1:28" x14ac:dyDescent="0.25">
      <c r="A34" s="73" t="s">
        <v>10</v>
      </c>
      <c r="B34" s="72"/>
      <c r="C34" s="72"/>
      <c r="D34" s="72"/>
      <c r="E34" s="72"/>
      <c r="F34" s="72"/>
      <c r="G34" s="73"/>
      <c r="H34" s="73"/>
      <c r="I34" s="73"/>
      <c r="J34" s="73"/>
      <c r="K34" s="73"/>
      <c r="L34" s="53"/>
      <c r="M34" s="53"/>
      <c r="N34" s="53"/>
      <c r="O34" s="53"/>
      <c r="P34" s="8"/>
      <c r="U34" s="39"/>
      <c r="X34" s="39"/>
      <c r="Y34" s="39"/>
      <c r="AA34" s="39"/>
      <c r="AB34" s="39"/>
    </row>
    <row r="35" spans="1:28" x14ac:dyDescent="0.25">
      <c r="A35" s="54" t="s">
        <v>11</v>
      </c>
      <c r="B35" s="62" t="e">
        <f t="shared" ref="B35:H36" si="9">B13+B20+B27</f>
        <v>#N/A</v>
      </c>
      <c r="C35" s="62" t="e">
        <f>C13+C20+C27</f>
        <v>#N/A</v>
      </c>
      <c r="D35" s="62" t="e">
        <f t="shared" si="9"/>
        <v>#N/A</v>
      </c>
      <c r="E35" s="62" t="e">
        <f t="shared" si="9"/>
        <v>#N/A</v>
      </c>
      <c r="F35" s="62" t="e">
        <f t="shared" si="9"/>
        <v>#N/A</v>
      </c>
      <c r="G35" s="62" t="e">
        <f t="shared" si="9"/>
        <v>#N/A</v>
      </c>
      <c r="H35" s="62" t="e">
        <f t="shared" si="9"/>
        <v>#N/A</v>
      </c>
      <c r="I35" s="62" t="e">
        <f t="shared" ref="I35:N36" si="10">I13+I20+I27</f>
        <v>#N/A</v>
      </c>
      <c r="J35" s="62" t="e">
        <f t="shared" si="10"/>
        <v>#N/A</v>
      </c>
      <c r="K35" s="62" t="e">
        <f t="shared" si="10"/>
        <v>#N/A</v>
      </c>
      <c r="L35" s="62" t="e">
        <f t="shared" si="10"/>
        <v>#N/A</v>
      </c>
      <c r="M35" s="62" t="e">
        <f t="shared" si="10"/>
        <v>#N/A</v>
      </c>
      <c r="N35" s="62" t="e">
        <f t="shared" si="10"/>
        <v>#N/A</v>
      </c>
      <c r="O35" s="54"/>
      <c r="P35" s="42" t="e">
        <f>MAX(B35:N35)</f>
        <v>#N/A</v>
      </c>
      <c r="U35" s="39"/>
      <c r="X35" s="39"/>
      <c r="Y35" s="39"/>
      <c r="AA35" s="39"/>
      <c r="AB35" s="39"/>
    </row>
    <row r="36" spans="1:28" x14ac:dyDescent="0.25">
      <c r="A36" s="54" t="s">
        <v>7</v>
      </c>
      <c r="B36" s="62" t="e">
        <f t="shared" si="9"/>
        <v>#N/A</v>
      </c>
      <c r="C36" s="62" t="e">
        <f>C14+C21+C28</f>
        <v>#N/A</v>
      </c>
      <c r="D36" s="62" t="e">
        <f t="shared" si="9"/>
        <v>#N/A</v>
      </c>
      <c r="E36" s="62" t="e">
        <f t="shared" si="9"/>
        <v>#N/A</v>
      </c>
      <c r="F36" s="62" t="e">
        <f t="shared" si="9"/>
        <v>#N/A</v>
      </c>
      <c r="G36" s="62" t="e">
        <f t="shared" si="9"/>
        <v>#N/A</v>
      </c>
      <c r="H36" s="62" t="e">
        <f t="shared" si="9"/>
        <v>#N/A</v>
      </c>
      <c r="I36" s="62" t="e">
        <f t="shared" si="10"/>
        <v>#N/A</v>
      </c>
      <c r="J36" s="62" t="e">
        <f t="shared" si="10"/>
        <v>#N/A</v>
      </c>
      <c r="K36" s="62" t="e">
        <f t="shared" si="10"/>
        <v>#N/A</v>
      </c>
      <c r="L36" s="62" t="e">
        <f t="shared" si="10"/>
        <v>#N/A</v>
      </c>
      <c r="M36" s="62" t="e">
        <f t="shared" si="10"/>
        <v>#N/A</v>
      </c>
      <c r="N36" s="62" t="e">
        <f t="shared" si="10"/>
        <v>#N/A</v>
      </c>
      <c r="O36" s="62" t="e">
        <f>SUM(B36:N36)</f>
        <v>#N/A</v>
      </c>
      <c r="P36" s="9"/>
      <c r="U36" s="39"/>
      <c r="X36" s="39"/>
      <c r="Y36" s="39"/>
      <c r="AA36" s="39"/>
      <c r="AB36" s="39"/>
    </row>
    <row r="37" spans="1:28" s="24" customFormat="1" x14ac:dyDescent="0.25">
      <c r="A37" s="272" t="s">
        <v>12</v>
      </c>
      <c r="B37" s="376" t="s">
        <v>491</v>
      </c>
      <c r="C37" s="246"/>
      <c r="D37" s="246"/>
      <c r="E37" s="246"/>
      <c r="F37" s="246"/>
      <c r="G37" s="247"/>
      <c r="H37" s="247"/>
      <c r="I37" s="247"/>
      <c r="J37" s="247"/>
      <c r="K37" s="36"/>
      <c r="L37" s="36"/>
      <c r="M37" s="36"/>
      <c r="N37" s="36"/>
      <c r="O37" s="36"/>
      <c r="P37" s="36"/>
      <c r="X37" s="138"/>
      <c r="AA37" s="138"/>
      <c r="AB37" s="138"/>
    </row>
    <row r="38" spans="1:28" x14ac:dyDescent="0.25">
      <c r="A38" s="36" t="s">
        <v>6</v>
      </c>
      <c r="B38" s="387">
        <f>VLOOKUP($B$37,BancoTabla_1[],5,FALSE)</f>
        <v>0</v>
      </c>
      <c r="C38" s="387">
        <f>VLOOKUP($B$37,BancoTabla_2[],5,FALSE)</f>
        <v>0</v>
      </c>
      <c r="D38" s="387">
        <f>VLOOKUP($B$37,BancoTabla_3[],5,FALSE)</f>
        <v>0</v>
      </c>
      <c r="E38" s="387">
        <f>VLOOKUP($B$37,BancoTabla_4[],5,FALSE)</f>
        <v>0</v>
      </c>
      <c r="F38" s="387">
        <f>VLOOKUP($B$37,BancoTabla_5[],5,FALSE)</f>
        <v>0</v>
      </c>
      <c r="G38" s="387">
        <f>VLOOKUP($B$37,BancoTabla_6[],5,FALSE)</f>
        <v>3064</v>
      </c>
      <c r="H38" s="387">
        <f>VLOOKUP($B$37,BancoTabla_7[],5,FALSE)</f>
        <v>0</v>
      </c>
      <c r="I38" s="387">
        <f>VLOOKUP($B$37,BancoTabla_8[],5,FALSE)</f>
        <v>0</v>
      </c>
      <c r="J38" s="387">
        <f>VLOOKUP($B$37,BancoTabla_9[],5,FALSE)</f>
        <v>0</v>
      </c>
      <c r="K38" s="387">
        <f>VLOOKUP($B$37,BancoTabla_10[],5,FALSE)</f>
        <v>0</v>
      </c>
      <c r="L38" s="387">
        <f>VLOOKUP($B$37,BancoTabla_11[],5,FALSE)</f>
        <v>0</v>
      </c>
      <c r="M38" s="387">
        <f>VLOOKUP($B$37,BancoTabla_12[],5,FALSE)</f>
        <v>0</v>
      </c>
      <c r="N38" s="387">
        <f>VLOOKUP($B$37,BancoTabla_13[],5,FALSE)</f>
        <v>0</v>
      </c>
      <c r="O38" s="79"/>
      <c r="P38" s="43">
        <f>MAX(B38:N38)</f>
        <v>3064</v>
      </c>
      <c r="Q38" s="334">
        <f>P38/1000</f>
        <v>3.0640000000000001</v>
      </c>
    </row>
    <row r="39" spans="1:28" x14ac:dyDescent="0.25">
      <c r="A39" s="36" t="s">
        <v>7</v>
      </c>
      <c r="B39" s="387">
        <f>VLOOKUP($B$37,BancoTabla_1[],8,FALSE)</f>
        <v>0</v>
      </c>
      <c r="C39" s="387">
        <f>VLOOKUP($B$37,BancoTabla_2[],8,FALSE)</f>
        <v>0</v>
      </c>
      <c r="D39" s="387">
        <f>VLOOKUP($B$37,BancoTabla_3[],8,FALSE)</f>
        <v>0</v>
      </c>
      <c r="E39" s="387">
        <f>VLOOKUP($B$37,BancoTabla_4[],8,FALSE)</f>
        <v>0</v>
      </c>
      <c r="F39" s="387">
        <f>VLOOKUP($B$37,BancoTabla_5[],8,FALSE)</f>
        <v>0</v>
      </c>
      <c r="G39" s="387">
        <f>VLOOKUP($B$37,BancoTabla_6[],8,FALSE)</f>
        <v>1559161</v>
      </c>
      <c r="H39" s="387">
        <f>VLOOKUP($B$37,BancoTabla_7[],8,FALSE)</f>
        <v>0</v>
      </c>
      <c r="I39" s="387">
        <f>VLOOKUP($B$37,BancoTabla_8[],8,FALSE)</f>
        <v>0</v>
      </c>
      <c r="J39" s="387">
        <f>VLOOKUP($B$37,BancoTabla_9[],8,FALSE)</f>
        <v>0</v>
      </c>
      <c r="K39" s="387">
        <f>VLOOKUP($B$37,BancoTabla_10[],8,FALSE)</f>
        <v>0</v>
      </c>
      <c r="L39" s="387">
        <f>VLOOKUP($B$37,BancoTabla_11[],8,FALSE)</f>
        <v>0</v>
      </c>
      <c r="M39" s="387">
        <f>VLOOKUP($B$37,BancoTabla_12[],8,FALSE)</f>
        <v>0</v>
      </c>
      <c r="N39" s="387">
        <f>VLOOKUP($B$37,BancoTabla_13[],8,FALSE)</f>
        <v>0</v>
      </c>
      <c r="O39" s="47">
        <f>SUM(B39:N39)</f>
        <v>1559161</v>
      </c>
      <c r="P39" s="4">
        <f>SUM(B39:N39)/(COUNTIF(B39:N39,"&gt;0"))</f>
        <v>1559161</v>
      </c>
      <c r="R39" s="39"/>
    </row>
    <row r="40" spans="1:28" x14ac:dyDescent="0.25">
      <c r="A40" s="36" t="s">
        <v>16</v>
      </c>
      <c r="B40" s="37" t="e">
        <f t="shared" ref="B40:H40" si="11">+((B38/B42)^2-(B38^2))^(0.5)</f>
        <v>#DIV/0!</v>
      </c>
      <c r="C40" s="37" t="e">
        <f>+((C38/C42)^2-(C38^2))^(0.5)</f>
        <v>#DIV/0!</v>
      </c>
      <c r="D40" s="37" t="e">
        <f t="shared" si="11"/>
        <v>#DIV/0!</v>
      </c>
      <c r="E40" s="37" t="e">
        <f t="shared" si="11"/>
        <v>#DIV/0!</v>
      </c>
      <c r="F40" s="37" t="e">
        <f t="shared" si="11"/>
        <v>#DIV/0!</v>
      </c>
      <c r="G40" s="37">
        <f t="shared" si="11"/>
        <v>0</v>
      </c>
      <c r="H40" s="37" t="e">
        <f t="shared" si="11"/>
        <v>#DIV/0!</v>
      </c>
      <c r="I40" s="37" t="e">
        <f t="shared" ref="I40:N40" si="12">+((I38/I42)^2-(I38^2))^(0.5)</f>
        <v>#DIV/0!</v>
      </c>
      <c r="J40" s="37" t="e">
        <f t="shared" si="12"/>
        <v>#DIV/0!</v>
      </c>
      <c r="K40" s="37" t="e">
        <f t="shared" si="12"/>
        <v>#DIV/0!</v>
      </c>
      <c r="L40" s="37" t="e">
        <f t="shared" si="12"/>
        <v>#DIV/0!</v>
      </c>
      <c r="M40" s="37" t="e">
        <f t="shared" si="12"/>
        <v>#DIV/0!</v>
      </c>
      <c r="N40" s="37" t="e">
        <f t="shared" si="12"/>
        <v>#DIV/0!</v>
      </c>
      <c r="O40" s="37"/>
      <c r="P40" s="4">
        <f>HLOOKUP(P38,B38:N40,3,FALSE)</f>
        <v>0</v>
      </c>
    </row>
    <row r="41" spans="1:28" x14ac:dyDescent="0.25">
      <c r="A41" s="36" t="s">
        <v>8</v>
      </c>
      <c r="B41" s="37">
        <f t="shared" ref="B41:H41" si="13">+B39/(24*B$8)</f>
        <v>0</v>
      </c>
      <c r="C41" s="37">
        <f>+C39/(24*C$8)</f>
        <v>0</v>
      </c>
      <c r="D41" s="37">
        <f t="shared" si="13"/>
        <v>0</v>
      </c>
      <c r="E41" s="37">
        <f t="shared" si="13"/>
        <v>0</v>
      </c>
      <c r="F41" s="37">
        <f t="shared" si="13"/>
        <v>0</v>
      </c>
      <c r="G41" s="37">
        <f t="shared" si="13"/>
        <v>2095.6465053763441</v>
      </c>
      <c r="H41" s="37">
        <f t="shared" si="13"/>
        <v>0</v>
      </c>
      <c r="I41" s="37">
        <f t="shared" ref="I41:N41" si="14">+I39/(24*I$8)</f>
        <v>0</v>
      </c>
      <c r="J41" s="37">
        <f t="shared" si="14"/>
        <v>0</v>
      </c>
      <c r="K41" s="37">
        <f t="shared" si="14"/>
        <v>0</v>
      </c>
      <c r="L41" s="37">
        <f t="shared" si="14"/>
        <v>0</v>
      </c>
      <c r="M41" s="37">
        <f t="shared" si="14"/>
        <v>0</v>
      </c>
      <c r="N41" s="37">
        <f t="shared" si="14"/>
        <v>0</v>
      </c>
      <c r="O41" s="6">
        <f>SUM(O39)/(24*O$8)</f>
        <v>177.98641552511415</v>
      </c>
      <c r="P41" s="4">
        <f>O39/(COUNTIF(B39:N39,"&gt;0")*720)</f>
        <v>2165.5013888888889</v>
      </c>
    </row>
    <row r="42" spans="1:28" x14ac:dyDescent="0.25">
      <c r="A42" s="36" t="s">
        <v>9</v>
      </c>
      <c r="B42" s="388">
        <f>VLOOKUP($B$37,BancoTabla_1[],10,FALSE)</f>
        <v>0</v>
      </c>
      <c r="C42" s="388">
        <f>VLOOKUP($B$37,BancoTabla_2[],10,FALSE)</f>
        <v>0</v>
      </c>
      <c r="D42" s="388">
        <f>VLOOKUP($B$37,BancoTabla_3[],10,FALSE)</f>
        <v>0</v>
      </c>
      <c r="E42" s="388">
        <f>VLOOKUP($B$37,BancoTabla_4[],10,FALSE)</f>
        <v>0</v>
      </c>
      <c r="F42" s="388">
        <f>VLOOKUP($B$37,BancoTabla_5[],10,FALSE)</f>
        <v>0</v>
      </c>
      <c r="G42" s="388">
        <f>VLOOKUP($B$37,BancoTabla_6[],10,FALSE)</f>
        <v>1</v>
      </c>
      <c r="H42" s="388">
        <f>VLOOKUP($B$37,BancoTabla_7[],10,FALSE)</f>
        <v>0</v>
      </c>
      <c r="I42" s="388">
        <f>VLOOKUP($B$37,BancoTabla_8[],10,FALSE)</f>
        <v>0</v>
      </c>
      <c r="J42" s="388">
        <f>VLOOKUP($B$37,BancoTabla_9[],10,FALSE)</f>
        <v>0</v>
      </c>
      <c r="K42" s="388">
        <f>VLOOKUP($B$37,BancoTabla_10[],10,FALSE)</f>
        <v>0</v>
      </c>
      <c r="L42" s="388">
        <f>VLOOKUP($B$37,BancoTabla_11[],10,FALSE)</f>
        <v>0</v>
      </c>
      <c r="M42" s="388">
        <f>VLOOKUP($B$37,BancoTabla_12[],10,FALSE)</f>
        <v>0</v>
      </c>
      <c r="N42" s="388">
        <f>VLOOKUP($B$37,BancoTabla_13[],10,FALSE)</f>
        <v>0</v>
      </c>
      <c r="O42" s="6"/>
      <c r="P42" s="4">
        <f>COS(ATAN(P40/P38))</f>
        <v>1</v>
      </c>
    </row>
    <row r="43" spans="1:28" x14ac:dyDescent="0.25">
      <c r="A43" s="36" t="s">
        <v>17</v>
      </c>
      <c r="B43" s="37" t="e">
        <f t="shared" ref="B43:H43" si="15">+B41/B38</f>
        <v>#DIV/0!</v>
      </c>
      <c r="C43" s="37" t="e">
        <f>+C41/C38</f>
        <v>#DIV/0!</v>
      </c>
      <c r="D43" s="37" t="e">
        <f t="shared" si="15"/>
        <v>#DIV/0!</v>
      </c>
      <c r="E43" s="37" t="e">
        <f t="shared" si="15"/>
        <v>#DIV/0!</v>
      </c>
      <c r="F43" s="37" t="e">
        <f t="shared" si="15"/>
        <v>#DIV/0!</v>
      </c>
      <c r="G43" s="37">
        <f t="shared" si="15"/>
        <v>0.68395773674162663</v>
      </c>
      <c r="H43" s="37" t="e">
        <f t="shared" si="15"/>
        <v>#DIV/0!</v>
      </c>
      <c r="I43" s="37" t="e">
        <f t="shared" ref="I43:N43" si="16">+I41/I38</f>
        <v>#DIV/0!</v>
      </c>
      <c r="J43" s="37" t="e">
        <f t="shared" si="16"/>
        <v>#DIV/0!</v>
      </c>
      <c r="K43" s="37" t="e">
        <f t="shared" si="16"/>
        <v>#DIV/0!</v>
      </c>
      <c r="L43" s="37" t="e">
        <f t="shared" si="16"/>
        <v>#DIV/0!</v>
      </c>
      <c r="M43" s="37" t="e">
        <f t="shared" si="16"/>
        <v>#DIV/0!</v>
      </c>
      <c r="N43" s="37" t="e">
        <f t="shared" si="16"/>
        <v>#DIV/0!</v>
      </c>
      <c r="O43" s="6"/>
      <c r="P43" s="4">
        <f>+P41/P38</f>
        <v>0.70675632796634758</v>
      </c>
    </row>
    <row r="44" spans="1:28" x14ac:dyDescent="0.25">
      <c r="A44" s="36" t="s">
        <v>18</v>
      </c>
      <c r="B44" s="37" t="e">
        <f t="shared" ref="B44:N44" si="17">+B35/B38</f>
        <v>#N/A</v>
      </c>
      <c r="C44" s="37" t="e">
        <f>+C35/C38</f>
        <v>#N/A</v>
      </c>
      <c r="D44" s="37" t="e">
        <f t="shared" si="17"/>
        <v>#N/A</v>
      </c>
      <c r="E44" s="37" t="e">
        <f t="shared" si="17"/>
        <v>#N/A</v>
      </c>
      <c r="F44" s="37" t="e">
        <f t="shared" si="17"/>
        <v>#N/A</v>
      </c>
      <c r="G44" s="37" t="e">
        <f t="shared" si="17"/>
        <v>#N/A</v>
      </c>
      <c r="H44" s="37" t="e">
        <f t="shared" si="17"/>
        <v>#N/A</v>
      </c>
      <c r="I44" s="37" t="e">
        <f t="shared" si="17"/>
        <v>#N/A</v>
      </c>
      <c r="J44" s="37" t="e">
        <f t="shared" si="17"/>
        <v>#N/A</v>
      </c>
      <c r="K44" s="37" t="e">
        <f t="shared" si="17"/>
        <v>#N/A</v>
      </c>
      <c r="L44" s="37" t="e">
        <f t="shared" si="17"/>
        <v>#N/A</v>
      </c>
      <c r="M44" s="37" t="e">
        <f t="shared" si="17"/>
        <v>#N/A</v>
      </c>
      <c r="N44" s="37" t="e">
        <f t="shared" si="17"/>
        <v>#N/A</v>
      </c>
      <c r="O44" s="6"/>
      <c r="P44" s="4" t="e">
        <f>+P35/P38</f>
        <v>#N/A</v>
      </c>
    </row>
    <row r="45" spans="1:28" x14ac:dyDescent="0.25">
      <c r="A45" s="36" t="s">
        <v>19</v>
      </c>
      <c r="B45" s="37">
        <f t="shared" ref="B45:H45" si="18">+B38/$B$46</f>
        <v>0</v>
      </c>
      <c r="C45" s="37">
        <f>+C38/$B$46</f>
        <v>0</v>
      </c>
      <c r="D45" s="37">
        <f t="shared" si="18"/>
        <v>0</v>
      </c>
      <c r="E45" s="37">
        <f t="shared" si="18"/>
        <v>0</v>
      </c>
      <c r="F45" s="37">
        <f t="shared" si="18"/>
        <v>0</v>
      </c>
      <c r="G45" s="37">
        <f t="shared" si="18"/>
        <v>0.61280000000000001</v>
      </c>
      <c r="H45" s="37">
        <f t="shared" si="18"/>
        <v>0</v>
      </c>
      <c r="I45" s="37">
        <f t="shared" ref="I45:N45" si="19">+I38/$B$46</f>
        <v>0</v>
      </c>
      <c r="J45" s="37">
        <f t="shared" si="19"/>
        <v>0</v>
      </c>
      <c r="K45" s="37">
        <f t="shared" si="19"/>
        <v>0</v>
      </c>
      <c r="L45" s="37">
        <f t="shared" si="19"/>
        <v>0</v>
      </c>
      <c r="M45" s="37">
        <f t="shared" si="19"/>
        <v>0</v>
      </c>
      <c r="N45" s="37">
        <f t="shared" si="19"/>
        <v>0</v>
      </c>
      <c r="O45" s="6"/>
      <c r="P45" s="4">
        <f>+P38/$B$46</f>
        <v>0.61280000000000001</v>
      </c>
    </row>
    <row r="46" spans="1:28" x14ac:dyDescent="0.25">
      <c r="A46" s="36" t="s">
        <v>20</v>
      </c>
      <c r="B46" s="37">
        <f>5*P42*1000</f>
        <v>5000</v>
      </c>
      <c r="C46" s="37"/>
      <c r="D46" s="37"/>
      <c r="E46" s="37"/>
      <c r="F46" s="37"/>
      <c r="G46" s="34"/>
      <c r="H46" s="37"/>
      <c r="I46" s="37"/>
      <c r="J46" s="37"/>
      <c r="K46" s="37"/>
      <c r="L46" s="37"/>
      <c r="M46" s="37"/>
      <c r="N46" s="37"/>
      <c r="O46" s="37"/>
      <c r="P46" s="4"/>
    </row>
    <row r="47" spans="1:28" x14ac:dyDescent="0.25">
      <c r="A47" s="122"/>
      <c r="B47" s="237">
        <f>B38/$B$46</f>
        <v>0</v>
      </c>
      <c r="C47" s="237">
        <f>C38/$B$46</f>
        <v>0</v>
      </c>
      <c r="D47" s="237">
        <f t="shared" ref="D47:N47" si="20">D38/$B$46</f>
        <v>0</v>
      </c>
      <c r="E47" s="237">
        <f t="shared" si="20"/>
        <v>0</v>
      </c>
      <c r="F47" s="237">
        <f t="shared" si="20"/>
        <v>0</v>
      </c>
      <c r="G47" s="237">
        <f t="shared" si="20"/>
        <v>0.61280000000000001</v>
      </c>
      <c r="H47" s="237">
        <f t="shared" si="20"/>
        <v>0</v>
      </c>
      <c r="I47" s="237">
        <f t="shared" si="20"/>
        <v>0</v>
      </c>
      <c r="J47" s="237">
        <f t="shared" si="20"/>
        <v>0</v>
      </c>
      <c r="K47" s="237">
        <f t="shared" si="20"/>
        <v>0</v>
      </c>
      <c r="L47" s="237">
        <f t="shared" si="20"/>
        <v>0</v>
      </c>
      <c r="M47" s="237">
        <f t="shared" si="20"/>
        <v>0</v>
      </c>
      <c r="N47" s="237">
        <f t="shared" si="20"/>
        <v>0</v>
      </c>
      <c r="O47" s="116"/>
      <c r="P47" s="115"/>
    </row>
    <row r="48" spans="1:28" x14ac:dyDescent="0.25">
      <c r="A48" s="122"/>
      <c r="B48" s="35"/>
      <c r="C48" s="35"/>
      <c r="D48" s="35"/>
      <c r="E48" s="35"/>
      <c r="F48" s="35"/>
      <c r="H48" s="35"/>
      <c r="I48" s="116"/>
      <c r="J48" s="116"/>
      <c r="K48" s="116"/>
      <c r="L48" s="116"/>
      <c r="M48" s="116"/>
      <c r="N48" s="116"/>
      <c r="O48" s="116"/>
      <c r="P48" s="115"/>
    </row>
    <row r="49" spans="1:18" s="24" customFormat="1" x14ac:dyDescent="0.25">
      <c r="A49" s="271" t="s">
        <v>470</v>
      </c>
      <c r="B49" s="262"/>
      <c r="C49" s="262"/>
      <c r="D49" s="262"/>
      <c r="E49" s="262"/>
      <c r="F49" s="65"/>
      <c r="G49" s="66"/>
      <c r="H49" s="66"/>
      <c r="I49" s="66"/>
      <c r="J49" s="66"/>
      <c r="K49" s="36"/>
      <c r="L49" s="36"/>
      <c r="M49" s="36"/>
      <c r="N49" s="36"/>
      <c r="O49" s="36"/>
      <c r="P49" s="36"/>
    </row>
    <row r="50" spans="1:18" x14ac:dyDescent="0.25">
      <c r="A50" s="120" t="s">
        <v>6</v>
      </c>
      <c r="B50" s="389">
        <f>VLOOKUP($A$49,TABLA_1[],5,FALSE)</f>
        <v>0</v>
      </c>
      <c r="C50" s="389">
        <f>VLOOKUP($A$49,TABLA_2[],5,FALSE)</f>
        <v>0</v>
      </c>
      <c r="D50" s="389">
        <f>VLOOKUP($A$49,TABLA_3[],5,FALSE)</f>
        <v>0</v>
      </c>
      <c r="E50" s="389">
        <f>VLOOKUP($A$49,TABLA_4[],5,FALSE)</f>
        <v>0</v>
      </c>
      <c r="F50" s="389">
        <f>VLOOKUP($A$49,TABLA_5[],5,FALSE)</f>
        <v>0</v>
      </c>
      <c r="G50" s="389">
        <f>VLOOKUP($A$49,TABLA_6[],5,FALSE)</f>
        <v>2718</v>
      </c>
      <c r="H50" s="389">
        <f>VLOOKUP($A$49,TABLA_7[],5,FALSE)</f>
        <v>0</v>
      </c>
      <c r="I50" s="389">
        <f>VLOOKUP($A$49,TABLA_8[],5,FALSE)</f>
        <v>0</v>
      </c>
      <c r="J50" s="389">
        <f>VLOOKUP($A$49,TABLA_9[],5,FALSE)</f>
        <v>0</v>
      </c>
      <c r="K50" s="389">
        <f>VLOOKUP($A$49,TABLA_10[],5,FALSE)</f>
        <v>0</v>
      </c>
      <c r="L50" s="389">
        <f>VLOOKUP($A$49,TABLA_11[],5,FALSE)</f>
        <v>0</v>
      </c>
      <c r="M50" s="389">
        <f>VLOOKUP($A$49,TABLA_12[],5,FALSE)</f>
        <v>0</v>
      </c>
      <c r="N50" s="389">
        <f>VLOOKUP($A$49,TABLA_13[],5,FALSE)</f>
        <v>0</v>
      </c>
      <c r="O50" s="6"/>
      <c r="P50" s="43">
        <f>MAX(B50:N50)</f>
        <v>2718</v>
      </c>
    </row>
    <row r="51" spans="1:18" x14ac:dyDescent="0.25">
      <c r="A51" s="120" t="s">
        <v>7</v>
      </c>
      <c r="B51" s="389">
        <f>VLOOKUP($A$49,TABLA_1[],8,FALSE)</f>
        <v>0</v>
      </c>
      <c r="C51" s="389">
        <f>VLOOKUP($A$49,TABLA_2[],8,FALSE)</f>
        <v>0</v>
      </c>
      <c r="D51" s="389">
        <f>VLOOKUP($A$49,TABLA_3[],8,FALSE)</f>
        <v>0</v>
      </c>
      <c r="E51" s="389">
        <f>VLOOKUP($A$49,TABLA_4[],8,FALSE)</f>
        <v>0</v>
      </c>
      <c r="F51" s="389">
        <f>VLOOKUP($A$49,TABLA_5[],8,FALSE)</f>
        <v>0</v>
      </c>
      <c r="G51" s="389">
        <f>VLOOKUP($A$49,TABLA_6[],8,FALSE)</f>
        <v>1183648</v>
      </c>
      <c r="H51" s="389">
        <f>VLOOKUP($A$49,TABLA_7[],8,FALSE)</f>
        <v>0</v>
      </c>
      <c r="I51" s="389">
        <f>VLOOKUP($A$49,TABLA_8[],8,FALSE)</f>
        <v>0</v>
      </c>
      <c r="J51" s="389">
        <f>VLOOKUP($A$49,TABLA_9[],8,FALSE)</f>
        <v>0</v>
      </c>
      <c r="K51" s="389">
        <f>VLOOKUP($A$49,TABLA_10[],8,FALSE)</f>
        <v>0</v>
      </c>
      <c r="L51" s="389">
        <f>VLOOKUP($A$49,TABLA_11[],8,FALSE)</f>
        <v>0</v>
      </c>
      <c r="M51" s="389">
        <f>VLOOKUP($A$49,TABLA_12[],8,FALSE)</f>
        <v>0</v>
      </c>
      <c r="N51" s="389">
        <f>VLOOKUP($A$49,TABLA_13[],8,FALSE)</f>
        <v>0</v>
      </c>
      <c r="O51" s="47">
        <f>SUM(B51:N51)</f>
        <v>1183648</v>
      </c>
      <c r="P51" s="43">
        <f>SUM(B51:N51)/(COUNTIF(B51:N51,"&gt;0"))</f>
        <v>1183648</v>
      </c>
    </row>
    <row r="52" spans="1:18" x14ac:dyDescent="0.25">
      <c r="A52" s="120" t="s">
        <v>16</v>
      </c>
      <c r="B52" s="37" t="e">
        <f t="shared" ref="B52:H52" si="21">+((B50/B54)^2-(B50^2))^(0.5)</f>
        <v>#DIV/0!</v>
      </c>
      <c r="C52" s="37" t="e">
        <f>+((C50/C54)^2-(C50^2))^(0.5)</f>
        <v>#DIV/0!</v>
      </c>
      <c r="D52" s="37" t="e">
        <f t="shared" si="21"/>
        <v>#DIV/0!</v>
      </c>
      <c r="E52" s="37" t="e">
        <f t="shared" si="21"/>
        <v>#DIV/0!</v>
      </c>
      <c r="F52" s="37" t="e">
        <f t="shared" si="21"/>
        <v>#DIV/0!</v>
      </c>
      <c r="G52" s="37">
        <f t="shared" si="21"/>
        <v>0</v>
      </c>
      <c r="H52" s="37" t="e">
        <f t="shared" si="21"/>
        <v>#DIV/0!</v>
      </c>
      <c r="I52" s="182" t="e">
        <f t="shared" ref="I52:N52" si="22">+((I50/I54)^2-(I50^2))^(0.5)</f>
        <v>#DIV/0!</v>
      </c>
      <c r="J52" s="182" t="e">
        <f t="shared" si="22"/>
        <v>#DIV/0!</v>
      </c>
      <c r="K52" s="182" t="e">
        <f t="shared" si="22"/>
        <v>#DIV/0!</v>
      </c>
      <c r="L52" s="182" t="e">
        <f t="shared" si="22"/>
        <v>#DIV/0!</v>
      </c>
      <c r="M52" s="182" t="e">
        <f t="shared" si="22"/>
        <v>#DIV/0!</v>
      </c>
      <c r="N52" s="37" t="e">
        <f t="shared" si="22"/>
        <v>#DIV/0!</v>
      </c>
      <c r="O52" s="37"/>
      <c r="P52" s="4">
        <f>HLOOKUP(P50,B50:N52,3,FALSE)</f>
        <v>0</v>
      </c>
    </row>
    <row r="53" spans="1:18" x14ac:dyDescent="0.25">
      <c r="A53" s="120" t="s">
        <v>8</v>
      </c>
      <c r="B53" s="37">
        <f t="shared" ref="B53:H53" si="23">+B51/(24*B$8)</f>
        <v>0</v>
      </c>
      <c r="C53" s="37">
        <f>+C51/(24*C$8)</f>
        <v>0</v>
      </c>
      <c r="D53" s="37">
        <f t="shared" si="23"/>
        <v>0</v>
      </c>
      <c r="E53" s="37">
        <f t="shared" si="23"/>
        <v>0</v>
      </c>
      <c r="F53" s="37">
        <f t="shared" si="23"/>
        <v>0</v>
      </c>
      <c r="G53" s="37">
        <f t="shared" si="23"/>
        <v>1590.9247311827958</v>
      </c>
      <c r="H53" s="37">
        <f t="shared" si="23"/>
        <v>0</v>
      </c>
      <c r="I53" s="182">
        <f t="shared" ref="I53:N53" si="24">+I51/(24*I$8)</f>
        <v>0</v>
      </c>
      <c r="J53" s="182">
        <f t="shared" si="24"/>
        <v>0</v>
      </c>
      <c r="K53" s="182">
        <f t="shared" si="24"/>
        <v>0</v>
      </c>
      <c r="L53" s="182">
        <f t="shared" si="24"/>
        <v>0</v>
      </c>
      <c r="M53" s="182">
        <f t="shared" si="24"/>
        <v>0</v>
      </c>
      <c r="N53" s="37">
        <f t="shared" si="24"/>
        <v>0</v>
      </c>
      <c r="O53" s="6">
        <f>SUM(O51)/(24*O$8)</f>
        <v>135.11963470319634</v>
      </c>
      <c r="P53" s="4">
        <f>O51/(COUNTIF(B51:N51,"&gt;0")*720)</f>
        <v>1643.9555555555555</v>
      </c>
    </row>
    <row r="54" spans="1:18" x14ac:dyDescent="0.25">
      <c r="A54" s="120" t="s">
        <v>9</v>
      </c>
      <c r="B54" s="390">
        <f>VLOOKUP($A$49,TABLA_1[],10,FALSE)</f>
        <v>0</v>
      </c>
      <c r="C54" s="390">
        <f>VLOOKUP($A$49,TABLA_2[],10,FALSE)</f>
        <v>0</v>
      </c>
      <c r="D54" s="390">
        <f>VLOOKUP($A$49,TABLA_3[],10,FALSE)</f>
        <v>0</v>
      </c>
      <c r="E54" s="390">
        <f>VLOOKUP($A$49,TABLA_4[],10,FALSE)</f>
        <v>0</v>
      </c>
      <c r="F54" s="390">
        <f>VLOOKUP($A$49,TABLA_5[],10,FALSE)</f>
        <v>0</v>
      </c>
      <c r="G54" s="390">
        <f>VLOOKUP($A$49,TABLA_6[],10,FALSE)</f>
        <v>1</v>
      </c>
      <c r="H54" s="390">
        <f>VLOOKUP($A$49,TABLA_7[],10,FALSE)</f>
        <v>0</v>
      </c>
      <c r="I54" s="390">
        <f>VLOOKUP($A$49,TABLA_8[],10,FALSE)</f>
        <v>0</v>
      </c>
      <c r="J54" s="390">
        <f>VLOOKUP($A$49,TABLA_9[],10,FALSE)</f>
        <v>0</v>
      </c>
      <c r="K54" s="390">
        <f>VLOOKUP($A$49,TABLA_10[],10,FALSE)</f>
        <v>0</v>
      </c>
      <c r="L54" s="390">
        <f>VLOOKUP($A$49,TABLA_11[],10,FALSE)</f>
        <v>0</v>
      </c>
      <c r="M54" s="390">
        <f>VLOOKUP($A$49,TABLA_12[],10,FALSE)</f>
        <v>0</v>
      </c>
      <c r="N54" s="390">
        <f>VLOOKUP($A$49,TABLA_13[],10,FALSE)</f>
        <v>0</v>
      </c>
      <c r="O54" s="6"/>
      <c r="P54" s="4">
        <f>COS(ATAN(P52/P50))</f>
        <v>1</v>
      </c>
    </row>
    <row r="55" spans="1:18" x14ac:dyDescent="0.25">
      <c r="A55" s="120" t="s">
        <v>17</v>
      </c>
      <c r="B55" s="37" t="e">
        <f t="shared" ref="B55:H55" si="25">+B53/B50</f>
        <v>#DIV/0!</v>
      </c>
      <c r="C55" s="37" t="e">
        <f>+C53/C50</f>
        <v>#DIV/0!</v>
      </c>
      <c r="D55" s="37" t="e">
        <f t="shared" si="25"/>
        <v>#DIV/0!</v>
      </c>
      <c r="E55" s="37" t="e">
        <f t="shared" si="25"/>
        <v>#DIV/0!</v>
      </c>
      <c r="F55" s="37" t="e">
        <f t="shared" si="25"/>
        <v>#DIV/0!</v>
      </c>
      <c r="G55" s="37">
        <f t="shared" si="25"/>
        <v>0.58532918733730532</v>
      </c>
      <c r="H55" s="37" t="e">
        <f t="shared" si="25"/>
        <v>#DIV/0!</v>
      </c>
      <c r="I55" s="182" t="e">
        <f t="shared" ref="I55:N55" si="26">+I53/I50</f>
        <v>#DIV/0!</v>
      </c>
      <c r="J55" s="182" t="e">
        <f t="shared" si="26"/>
        <v>#DIV/0!</v>
      </c>
      <c r="K55" s="182" t="e">
        <f t="shared" si="26"/>
        <v>#DIV/0!</v>
      </c>
      <c r="L55" s="182" t="e">
        <f t="shared" si="26"/>
        <v>#DIV/0!</v>
      </c>
      <c r="M55" s="182" t="e">
        <f t="shared" si="26"/>
        <v>#DIV/0!</v>
      </c>
      <c r="N55" s="37" t="e">
        <f t="shared" si="26"/>
        <v>#DIV/0!</v>
      </c>
      <c r="O55" s="6"/>
      <c r="P55" s="4">
        <f>+P53/P50</f>
        <v>0.60484016024854881</v>
      </c>
    </row>
    <row r="56" spans="1:18" x14ac:dyDescent="0.25">
      <c r="A56" s="52"/>
      <c r="B56" s="175"/>
      <c r="C56" s="175"/>
      <c r="D56" s="175"/>
      <c r="E56" s="175"/>
      <c r="F56" s="175"/>
      <c r="G56" s="52"/>
      <c r="H56" s="52"/>
      <c r="I56" s="52"/>
      <c r="J56" s="52"/>
      <c r="K56" s="52"/>
      <c r="L56" s="52"/>
      <c r="M56" s="52"/>
      <c r="N56" s="52"/>
      <c r="O56" s="52"/>
      <c r="P56" s="31"/>
    </row>
    <row r="57" spans="1:18" x14ac:dyDescent="0.25">
      <c r="A57" s="73" t="s">
        <v>10</v>
      </c>
      <c r="B57" s="72"/>
      <c r="C57" s="72"/>
      <c r="D57" s="72"/>
      <c r="E57" s="72"/>
      <c r="F57" s="72"/>
      <c r="G57" s="73"/>
      <c r="H57" s="73"/>
      <c r="I57" s="73"/>
      <c r="J57" s="73"/>
      <c r="K57" s="73"/>
      <c r="L57" s="53"/>
      <c r="M57" s="53"/>
      <c r="N57" s="53"/>
      <c r="O57" s="53"/>
      <c r="P57" s="8"/>
    </row>
    <row r="58" spans="1:18" x14ac:dyDescent="0.25">
      <c r="A58" s="54" t="s">
        <v>11</v>
      </c>
      <c r="B58" s="62">
        <f t="shared" ref="B58:H59" si="27">+B50</f>
        <v>0</v>
      </c>
      <c r="C58" s="62">
        <f>+C50</f>
        <v>0</v>
      </c>
      <c r="D58" s="62">
        <f t="shared" si="27"/>
        <v>0</v>
      </c>
      <c r="E58" s="62">
        <f t="shared" si="27"/>
        <v>0</v>
      </c>
      <c r="F58" s="62">
        <f t="shared" si="27"/>
        <v>0</v>
      </c>
      <c r="G58" s="62">
        <f t="shared" si="27"/>
        <v>2718</v>
      </c>
      <c r="H58" s="62">
        <f t="shared" si="27"/>
        <v>0</v>
      </c>
      <c r="I58" s="62">
        <f t="shared" ref="I58:N59" si="28">+I50</f>
        <v>0</v>
      </c>
      <c r="J58" s="62">
        <f t="shared" si="28"/>
        <v>0</v>
      </c>
      <c r="K58" s="62">
        <f t="shared" si="28"/>
        <v>0</v>
      </c>
      <c r="L58" s="62">
        <f t="shared" si="28"/>
        <v>0</v>
      </c>
      <c r="M58" s="62">
        <f t="shared" si="28"/>
        <v>0</v>
      </c>
      <c r="N58" s="62">
        <f t="shared" si="28"/>
        <v>0</v>
      </c>
      <c r="O58" s="54"/>
      <c r="P58" s="42">
        <f>MAX(B58:N58)</f>
        <v>2718</v>
      </c>
    </row>
    <row r="59" spans="1:18" x14ac:dyDescent="0.25">
      <c r="A59" s="54" t="s">
        <v>7</v>
      </c>
      <c r="B59" s="62">
        <f t="shared" si="27"/>
        <v>0</v>
      </c>
      <c r="C59" s="62">
        <f>+C51</f>
        <v>0</v>
      </c>
      <c r="D59" s="62">
        <f t="shared" si="27"/>
        <v>0</v>
      </c>
      <c r="E59" s="62">
        <f t="shared" si="27"/>
        <v>0</v>
      </c>
      <c r="F59" s="62">
        <f t="shared" si="27"/>
        <v>0</v>
      </c>
      <c r="G59" s="62">
        <f t="shared" si="27"/>
        <v>1183648</v>
      </c>
      <c r="H59" s="62">
        <f t="shared" si="27"/>
        <v>0</v>
      </c>
      <c r="I59" s="62">
        <f t="shared" si="28"/>
        <v>0</v>
      </c>
      <c r="J59" s="62">
        <f t="shared" si="28"/>
        <v>0</v>
      </c>
      <c r="K59" s="62">
        <f t="shared" si="28"/>
        <v>0</v>
      </c>
      <c r="L59" s="62">
        <f t="shared" si="28"/>
        <v>0</v>
      </c>
      <c r="M59" s="62">
        <f t="shared" si="28"/>
        <v>0</v>
      </c>
      <c r="N59" s="62">
        <f t="shared" si="28"/>
        <v>0</v>
      </c>
      <c r="O59" s="55">
        <f>SUM(B59:N59)</f>
        <v>1183648</v>
      </c>
      <c r="P59" s="9"/>
    </row>
    <row r="60" spans="1:18" x14ac:dyDescent="0.25">
      <c r="A60" s="273" t="s">
        <v>13</v>
      </c>
      <c r="B60" s="377" t="s">
        <v>498</v>
      </c>
      <c r="C60" s="70"/>
      <c r="D60" s="70"/>
      <c r="E60" s="70"/>
      <c r="F60" s="70"/>
      <c r="G60" s="71"/>
      <c r="H60" s="71"/>
      <c r="I60" s="71"/>
      <c r="J60" s="71"/>
      <c r="K60" s="67"/>
      <c r="L60" s="67"/>
      <c r="M60" s="67"/>
      <c r="N60" s="67"/>
      <c r="O60" s="67"/>
      <c r="P60" s="13"/>
    </row>
    <row r="61" spans="1:18" x14ac:dyDescent="0.25">
      <c r="A61" s="121" t="s">
        <v>6</v>
      </c>
      <c r="B61" s="389" t="e">
        <f>VLOOKUP($B$60,TABLA_1[],5,FALSE)</f>
        <v>#N/A</v>
      </c>
      <c r="C61" s="389" t="e">
        <f>VLOOKUP($B$60,TABLA_2[],5,FALSE)</f>
        <v>#N/A</v>
      </c>
      <c r="D61" s="389" t="e">
        <f>VLOOKUP($B$60,TABLA_3[],5,FALSE)</f>
        <v>#N/A</v>
      </c>
      <c r="E61" s="389" t="e">
        <f>VLOOKUP($B$60,TABLA_4[],5,FALSE)</f>
        <v>#N/A</v>
      </c>
      <c r="F61" s="389" t="e">
        <f>VLOOKUP($B$60,TABLA_5[],5,FALSE)</f>
        <v>#N/A</v>
      </c>
      <c r="G61" s="389" t="e">
        <f>VLOOKUP($B$60,TABLA_6[],5,FALSE)</f>
        <v>#N/A</v>
      </c>
      <c r="H61" s="389" t="e">
        <f>VLOOKUP($B$60,TABLA_7[],5,FALSE)</f>
        <v>#N/A</v>
      </c>
      <c r="I61" s="389" t="e">
        <f>VLOOKUP($B$60,TABLA_8[],5,FALSE)</f>
        <v>#N/A</v>
      </c>
      <c r="J61" s="389" t="e">
        <f>VLOOKUP($B$60,TABLA_9[],5,FALSE)</f>
        <v>#N/A</v>
      </c>
      <c r="K61" s="389" t="e">
        <f>VLOOKUP($B$60,TABLA_10[],5,FALSE)</f>
        <v>#N/A</v>
      </c>
      <c r="L61" s="389" t="e">
        <f>VLOOKUP($B$60,TABLA_11[],5,FALSE)</f>
        <v>#N/A</v>
      </c>
      <c r="M61" s="389" t="e">
        <f>VLOOKUP($B$60,TABLA_12[],5,FALSE)</f>
        <v>#N/A</v>
      </c>
      <c r="N61" s="389" t="e">
        <f>VLOOKUP($B$60,TABLA_13[],5,FALSE)</f>
        <v>#N/A</v>
      </c>
      <c r="O61" s="82"/>
      <c r="P61" s="44" t="e">
        <f>MAX(B61:N61)</f>
        <v>#N/A</v>
      </c>
    </row>
    <row r="62" spans="1:18" x14ac:dyDescent="0.25">
      <c r="A62" s="121" t="s">
        <v>7</v>
      </c>
      <c r="B62" s="389" t="e">
        <f>VLOOKUP($B$60,TABLA_1[],8,FALSE)</f>
        <v>#N/A</v>
      </c>
      <c r="C62" s="389" t="e">
        <f>VLOOKUP($B$60,TABLA_2[],8,FALSE)</f>
        <v>#N/A</v>
      </c>
      <c r="D62" s="389" t="e">
        <f>VLOOKUP($B$60,TABLA_3[],8,FALSE)</f>
        <v>#N/A</v>
      </c>
      <c r="E62" s="389" t="e">
        <f>VLOOKUP($B$60,TABLA_4[],8,FALSE)</f>
        <v>#N/A</v>
      </c>
      <c r="F62" s="389" t="e">
        <f>VLOOKUP($B$60,TABLA_5[],8,FALSE)</f>
        <v>#N/A</v>
      </c>
      <c r="G62" s="389" t="e">
        <f>VLOOKUP($B$60,TABLA_6[],8,FALSE)</f>
        <v>#N/A</v>
      </c>
      <c r="H62" s="389" t="e">
        <f>VLOOKUP($B$60,TABLA_7[],8,FALSE)</f>
        <v>#N/A</v>
      </c>
      <c r="I62" s="389" t="e">
        <f>VLOOKUP($B$60,TABLA_8[],8,FALSE)</f>
        <v>#N/A</v>
      </c>
      <c r="J62" s="389" t="e">
        <f>VLOOKUP($B$60,TABLA_9[],8,FALSE)</f>
        <v>#N/A</v>
      </c>
      <c r="K62" s="389" t="e">
        <f>VLOOKUP($B$60,TABLA_10[],8,FALSE)</f>
        <v>#N/A</v>
      </c>
      <c r="L62" s="389" t="e">
        <f>VLOOKUP($B$60,TABLA_11[],8,FALSE)</f>
        <v>#N/A</v>
      </c>
      <c r="M62" s="389" t="e">
        <f>VLOOKUP($B$60,TABLA_12[],8,FALSE)</f>
        <v>#N/A</v>
      </c>
      <c r="N62" s="389" t="e">
        <f>VLOOKUP($B$60,TABLA_13[],8,FALSE)</f>
        <v>#N/A</v>
      </c>
      <c r="O62" s="49" t="e">
        <f>SUM(B62:N62)</f>
        <v>#N/A</v>
      </c>
      <c r="P62" s="4" t="e">
        <f>SUM(B62:N62)/(COUNTIF(B62:N62,"&gt;0"))</f>
        <v>#N/A</v>
      </c>
      <c r="R62" s="39"/>
    </row>
    <row r="63" spans="1:18" x14ac:dyDescent="0.25">
      <c r="A63" s="121" t="s">
        <v>16</v>
      </c>
      <c r="B63" s="34" t="e">
        <f t="shared" ref="B63:H63" si="29">+((B61/B65)^2-(B61^2))^(0.5)</f>
        <v>#N/A</v>
      </c>
      <c r="C63" s="34" t="e">
        <f>+((C61/C65)^2-(C61^2))^(0.5)</f>
        <v>#N/A</v>
      </c>
      <c r="D63" s="34" t="e">
        <f t="shared" si="29"/>
        <v>#N/A</v>
      </c>
      <c r="E63" s="34" t="e">
        <f t="shared" si="29"/>
        <v>#N/A</v>
      </c>
      <c r="F63" s="34" t="e">
        <f t="shared" si="29"/>
        <v>#N/A</v>
      </c>
      <c r="G63" s="34" t="e">
        <f t="shared" si="29"/>
        <v>#N/A</v>
      </c>
      <c r="H63" s="34" t="e">
        <f t="shared" si="29"/>
        <v>#N/A</v>
      </c>
      <c r="I63" s="113" t="e">
        <f t="shared" ref="I63:N63" si="30">+((I61/I65)^2-(I61^2))^(0.5)</f>
        <v>#N/A</v>
      </c>
      <c r="J63" s="113" t="e">
        <f t="shared" si="30"/>
        <v>#N/A</v>
      </c>
      <c r="K63" s="113" t="e">
        <f t="shared" si="30"/>
        <v>#N/A</v>
      </c>
      <c r="L63" s="113" t="e">
        <f t="shared" si="30"/>
        <v>#N/A</v>
      </c>
      <c r="M63" s="113" t="e">
        <f t="shared" si="30"/>
        <v>#N/A</v>
      </c>
      <c r="N63" s="113" t="e">
        <f t="shared" si="30"/>
        <v>#N/A</v>
      </c>
      <c r="O63" s="34"/>
      <c r="P63" s="14" t="e">
        <f>HLOOKUP(P61,B61:N63,3,FALSE)</f>
        <v>#N/A</v>
      </c>
    </row>
    <row r="64" spans="1:18" x14ac:dyDescent="0.25">
      <c r="A64" s="121" t="s">
        <v>8</v>
      </c>
      <c r="B64" s="34" t="e">
        <f t="shared" ref="B64:H64" si="31">+B62/(24*B$8)</f>
        <v>#N/A</v>
      </c>
      <c r="C64" s="34" t="e">
        <f>+C62/(24*C$8)</f>
        <v>#N/A</v>
      </c>
      <c r="D64" s="34" t="e">
        <f t="shared" si="31"/>
        <v>#N/A</v>
      </c>
      <c r="E64" s="34" t="e">
        <f t="shared" si="31"/>
        <v>#N/A</v>
      </c>
      <c r="F64" s="34" t="e">
        <f t="shared" si="31"/>
        <v>#N/A</v>
      </c>
      <c r="G64" s="34" t="e">
        <f t="shared" si="31"/>
        <v>#N/A</v>
      </c>
      <c r="H64" s="34" t="e">
        <f t="shared" si="31"/>
        <v>#N/A</v>
      </c>
      <c r="I64" s="113" t="e">
        <f t="shared" ref="I64:N64" si="32">+I62/(24*I$8)</f>
        <v>#N/A</v>
      </c>
      <c r="J64" s="113" t="e">
        <f t="shared" si="32"/>
        <v>#N/A</v>
      </c>
      <c r="K64" s="113" t="e">
        <f t="shared" si="32"/>
        <v>#N/A</v>
      </c>
      <c r="L64" s="113" t="e">
        <f t="shared" si="32"/>
        <v>#N/A</v>
      </c>
      <c r="M64" s="113" t="e">
        <f t="shared" si="32"/>
        <v>#N/A</v>
      </c>
      <c r="N64" s="113" t="e">
        <f t="shared" si="32"/>
        <v>#N/A</v>
      </c>
      <c r="O64" s="80" t="e">
        <f>SUM(O62)/(24*O$8)</f>
        <v>#N/A</v>
      </c>
      <c r="P64" s="4" t="e">
        <f>O62/(COUNTIF(B62:N62,"&gt;0")*720)</f>
        <v>#N/A</v>
      </c>
    </row>
    <row r="65" spans="1:16" x14ac:dyDescent="0.25">
      <c r="A65" s="121" t="s">
        <v>9</v>
      </c>
      <c r="B65" s="390" t="e">
        <f>VLOOKUP($B$60,TABLA_1[],10,FALSE)</f>
        <v>#N/A</v>
      </c>
      <c r="C65" s="390" t="e">
        <f>VLOOKUP($B$60,TABLA_2[],10,FALSE)</f>
        <v>#N/A</v>
      </c>
      <c r="D65" s="390" t="e">
        <f>VLOOKUP($B$60,TABLA_3[],10,FALSE)</f>
        <v>#N/A</v>
      </c>
      <c r="E65" s="390" t="e">
        <f>VLOOKUP($B$60,TABLA_4[],10,FALSE)</f>
        <v>#N/A</v>
      </c>
      <c r="F65" s="390" t="e">
        <f>VLOOKUP($B$60,TABLA_5[],10,FALSE)</f>
        <v>#N/A</v>
      </c>
      <c r="G65" s="390" t="e">
        <f>VLOOKUP($B$60,TABLA_6[],10,FALSE)</f>
        <v>#N/A</v>
      </c>
      <c r="H65" s="390" t="e">
        <f>VLOOKUP($B$60,TABLA_7[],10,FALSE)</f>
        <v>#N/A</v>
      </c>
      <c r="I65" s="390" t="e">
        <f>VLOOKUP($B$60,TABLA_8[],10,FALSE)</f>
        <v>#N/A</v>
      </c>
      <c r="J65" s="390" t="e">
        <f>VLOOKUP($B$60,TABLA_9[],10,FALSE)</f>
        <v>#N/A</v>
      </c>
      <c r="K65" s="390" t="e">
        <f>VLOOKUP($B$60,TABLA_10[],10,FALSE)</f>
        <v>#N/A</v>
      </c>
      <c r="L65" s="390" t="e">
        <f>VLOOKUP($B$60,TABLA_11[],10,FALSE)</f>
        <v>#N/A</v>
      </c>
      <c r="M65" s="390" t="e">
        <f>VLOOKUP($B$60,TABLA_12[],10,FALSE)</f>
        <v>#N/A</v>
      </c>
      <c r="N65" s="390" t="e">
        <f>VLOOKUP($B$60,TABLA_13[],10,FALSE)</f>
        <v>#N/A</v>
      </c>
      <c r="O65" s="80"/>
      <c r="P65" s="14" t="e">
        <f>COS(ATAN(P63/P61))</f>
        <v>#N/A</v>
      </c>
    </row>
    <row r="66" spans="1:16" x14ac:dyDescent="0.25">
      <c r="A66" s="121" t="s">
        <v>17</v>
      </c>
      <c r="B66" s="34" t="e">
        <f t="shared" ref="B66:H66" si="33">+B64/B61</f>
        <v>#N/A</v>
      </c>
      <c r="C66" s="34" t="e">
        <f>+C64/C61</f>
        <v>#N/A</v>
      </c>
      <c r="D66" s="34" t="e">
        <f t="shared" si="33"/>
        <v>#N/A</v>
      </c>
      <c r="E66" s="34" t="e">
        <f t="shared" si="33"/>
        <v>#N/A</v>
      </c>
      <c r="F66" s="34" t="e">
        <f t="shared" si="33"/>
        <v>#N/A</v>
      </c>
      <c r="G66" s="34" t="e">
        <f t="shared" si="33"/>
        <v>#N/A</v>
      </c>
      <c r="H66" s="34" t="e">
        <f t="shared" si="33"/>
        <v>#N/A</v>
      </c>
      <c r="I66" s="113" t="e">
        <f t="shared" ref="I66:N66" si="34">+I64/I61</f>
        <v>#N/A</v>
      </c>
      <c r="J66" s="113" t="e">
        <f t="shared" si="34"/>
        <v>#N/A</v>
      </c>
      <c r="K66" s="113" t="e">
        <f t="shared" si="34"/>
        <v>#N/A</v>
      </c>
      <c r="L66" s="113" t="e">
        <f t="shared" si="34"/>
        <v>#N/A</v>
      </c>
      <c r="M66" s="113" t="e">
        <f t="shared" si="34"/>
        <v>#N/A</v>
      </c>
      <c r="N66" s="113" t="e">
        <f t="shared" si="34"/>
        <v>#N/A</v>
      </c>
      <c r="O66" s="80"/>
      <c r="P66" s="14" t="e">
        <f>+P64/P61</f>
        <v>#N/A</v>
      </c>
    </row>
    <row r="67" spans="1:16" x14ac:dyDescent="0.25">
      <c r="A67" s="121" t="s">
        <v>18</v>
      </c>
      <c r="B67" s="34" t="e">
        <f t="shared" ref="B67:H67" si="35">+B58/B61</f>
        <v>#N/A</v>
      </c>
      <c r="C67" s="34" t="e">
        <f>+C58/C61</f>
        <v>#N/A</v>
      </c>
      <c r="D67" s="34" t="e">
        <f t="shared" si="35"/>
        <v>#N/A</v>
      </c>
      <c r="E67" s="34" t="e">
        <f t="shared" si="35"/>
        <v>#N/A</v>
      </c>
      <c r="F67" s="34" t="e">
        <f t="shared" si="35"/>
        <v>#N/A</v>
      </c>
      <c r="G67" s="34" t="e">
        <f t="shared" si="35"/>
        <v>#N/A</v>
      </c>
      <c r="H67" s="34" t="e">
        <f t="shared" si="35"/>
        <v>#N/A</v>
      </c>
      <c r="I67" s="113" t="e">
        <f t="shared" ref="I67:N67" si="36">+I58/I61</f>
        <v>#N/A</v>
      </c>
      <c r="J67" s="113" t="e">
        <f t="shared" si="36"/>
        <v>#N/A</v>
      </c>
      <c r="K67" s="113" t="e">
        <f t="shared" si="36"/>
        <v>#N/A</v>
      </c>
      <c r="L67" s="113" t="e">
        <f t="shared" si="36"/>
        <v>#N/A</v>
      </c>
      <c r="M67" s="113" t="e">
        <f t="shared" si="36"/>
        <v>#N/A</v>
      </c>
      <c r="N67" s="113" t="e">
        <f t="shared" si="36"/>
        <v>#N/A</v>
      </c>
      <c r="O67" s="80"/>
      <c r="P67" s="14" t="e">
        <f>+P58/P61</f>
        <v>#N/A</v>
      </c>
    </row>
    <row r="68" spans="1:16" x14ac:dyDescent="0.25">
      <c r="A68" s="121" t="s">
        <v>19</v>
      </c>
      <c r="B68" s="34" t="e">
        <f t="shared" ref="B68:N68" si="37">+B61/$B$69</f>
        <v>#N/A</v>
      </c>
      <c r="C68" s="34" t="e">
        <f>+C61/$B$69</f>
        <v>#N/A</v>
      </c>
      <c r="D68" s="34" t="e">
        <f t="shared" si="37"/>
        <v>#N/A</v>
      </c>
      <c r="E68" s="34" t="e">
        <f t="shared" si="37"/>
        <v>#N/A</v>
      </c>
      <c r="F68" s="34" t="e">
        <f t="shared" si="37"/>
        <v>#N/A</v>
      </c>
      <c r="G68" s="34" t="e">
        <f t="shared" si="37"/>
        <v>#N/A</v>
      </c>
      <c r="H68" s="34" t="e">
        <f t="shared" si="37"/>
        <v>#N/A</v>
      </c>
      <c r="I68" s="34" t="e">
        <f t="shared" si="37"/>
        <v>#N/A</v>
      </c>
      <c r="J68" s="34" t="e">
        <f t="shared" si="37"/>
        <v>#N/A</v>
      </c>
      <c r="K68" s="34" t="e">
        <f t="shared" si="37"/>
        <v>#N/A</v>
      </c>
      <c r="L68" s="34" t="e">
        <f t="shared" si="37"/>
        <v>#N/A</v>
      </c>
      <c r="M68" s="34" t="e">
        <f t="shared" si="37"/>
        <v>#N/A</v>
      </c>
      <c r="N68" s="34" t="e">
        <f t="shared" si="37"/>
        <v>#N/A</v>
      </c>
      <c r="O68" s="114"/>
      <c r="P68" s="112" t="e">
        <f>+P61/$B$69</f>
        <v>#N/A</v>
      </c>
    </row>
    <row r="69" spans="1:16" x14ac:dyDescent="0.25">
      <c r="A69" s="121" t="s">
        <v>20</v>
      </c>
      <c r="B69" s="34" t="e">
        <f>2.5*P65*1000</f>
        <v>#N/A</v>
      </c>
      <c r="C69" s="34"/>
      <c r="D69" s="34"/>
      <c r="E69" s="34"/>
      <c r="F69" s="34"/>
      <c r="G69" s="67"/>
      <c r="H69" s="67"/>
      <c r="I69" s="121"/>
      <c r="J69" s="121"/>
      <c r="K69" s="113"/>
      <c r="L69" s="113"/>
      <c r="M69" s="113"/>
      <c r="N69" s="113"/>
      <c r="O69" s="113"/>
      <c r="P69" s="112"/>
    </row>
    <row r="70" spans="1:16" x14ac:dyDescent="0.25">
      <c r="A70" s="122"/>
      <c r="B70" s="116"/>
      <c r="C70" s="116"/>
      <c r="D70" s="116"/>
      <c r="E70" s="116"/>
      <c r="F70" s="116"/>
      <c r="G70" s="122"/>
      <c r="H70" s="122"/>
      <c r="I70" s="122"/>
      <c r="J70" s="122"/>
      <c r="K70" s="116"/>
      <c r="L70" s="116"/>
      <c r="M70" s="116"/>
      <c r="N70" s="116"/>
      <c r="O70" s="116"/>
      <c r="P70" s="115"/>
    </row>
    <row r="71" spans="1:16" x14ac:dyDescent="0.25">
      <c r="A71" s="24"/>
      <c r="B71" s="40"/>
      <c r="C71" s="40"/>
      <c r="D71" s="40"/>
      <c r="E71" s="40"/>
      <c r="F71" s="40"/>
      <c r="G71" s="24"/>
      <c r="H71" s="24"/>
      <c r="I71" s="24"/>
      <c r="J71" s="24"/>
      <c r="K71" s="24"/>
      <c r="L71" s="24"/>
      <c r="M71" s="24"/>
      <c r="N71" s="24"/>
      <c r="O71" s="24"/>
    </row>
    <row r="72" spans="1:16" x14ac:dyDescent="0.25">
      <c r="A72" s="24"/>
      <c r="B72" s="40"/>
      <c r="C72" s="40"/>
      <c r="D72" s="40"/>
      <c r="E72" s="40"/>
      <c r="F72" s="40"/>
      <c r="G72" s="24"/>
      <c r="H72" s="24"/>
      <c r="I72" s="24"/>
      <c r="J72" s="24"/>
      <c r="K72" s="24"/>
      <c r="L72" s="24"/>
      <c r="M72" s="24"/>
      <c r="N72" s="24"/>
      <c r="O72" s="24"/>
    </row>
    <row r="73" spans="1:16" x14ac:dyDescent="0.25">
      <c r="A73" s="69" t="s">
        <v>14</v>
      </c>
      <c r="B73" s="68"/>
      <c r="C73" s="68"/>
      <c r="D73" s="68"/>
      <c r="E73" s="68"/>
      <c r="F73" s="68"/>
      <c r="G73" s="69"/>
      <c r="H73" s="69"/>
      <c r="I73" s="69"/>
      <c r="J73" s="69"/>
      <c r="K73" s="57"/>
      <c r="L73" s="57"/>
      <c r="M73" s="57"/>
      <c r="N73" s="57"/>
      <c r="O73" s="57"/>
      <c r="P73" s="16"/>
    </row>
    <row r="74" spans="1:16" x14ac:dyDescent="0.25">
      <c r="A74" s="57" t="s">
        <v>11</v>
      </c>
      <c r="B74" s="63">
        <f>+B38</f>
        <v>0</v>
      </c>
      <c r="C74" s="63">
        <f>+C38</f>
        <v>0</v>
      </c>
      <c r="D74" s="63">
        <f t="shared" ref="D74:M75" si="38">+D38</f>
        <v>0</v>
      </c>
      <c r="E74" s="63">
        <f>+E38</f>
        <v>0</v>
      </c>
      <c r="F74" s="63">
        <f t="shared" si="38"/>
        <v>0</v>
      </c>
      <c r="G74" s="63">
        <f t="shared" si="38"/>
        <v>3064</v>
      </c>
      <c r="H74" s="63">
        <f t="shared" si="38"/>
        <v>0</v>
      </c>
      <c r="I74" s="63">
        <f>+I38</f>
        <v>0</v>
      </c>
      <c r="J74" s="63">
        <f t="shared" si="38"/>
        <v>0</v>
      </c>
      <c r="K74" s="63">
        <f t="shared" si="38"/>
        <v>0</v>
      </c>
      <c r="L74" s="63">
        <f>+L38</f>
        <v>0</v>
      </c>
      <c r="M74" s="63">
        <f t="shared" si="38"/>
        <v>0</v>
      </c>
      <c r="N74" s="63">
        <f>+N38</f>
        <v>0</v>
      </c>
      <c r="O74" s="63"/>
      <c r="P74" s="45">
        <f>MAX(B74:N74)</f>
        <v>3064</v>
      </c>
    </row>
    <row r="75" spans="1:16" x14ac:dyDescent="0.25">
      <c r="A75" s="57" t="s">
        <v>7</v>
      </c>
      <c r="B75" s="63">
        <f>+B39</f>
        <v>0</v>
      </c>
      <c r="C75" s="63">
        <f>+C39</f>
        <v>0</v>
      </c>
      <c r="D75" s="63">
        <f t="shared" si="38"/>
        <v>0</v>
      </c>
      <c r="E75" s="63">
        <f t="shared" si="38"/>
        <v>0</v>
      </c>
      <c r="F75" s="63">
        <f t="shared" si="38"/>
        <v>0</v>
      </c>
      <c r="G75" s="63">
        <f t="shared" si="38"/>
        <v>1559161</v>
      </c>
      <c r="H75" s="63">
        <f t="shared" si="38"/>
        <v>0</v>
      </c>
      <c r="I75" s="63">
        <f t="shared" si="38"/>
        <v>0</v>
      </c>
      <c r="J75" s="63">
        <f t="shared" si="38"/>
        <v>0</v>
      </c>
      <c r="K75" s="63">
        <f t="shared" si="38"/>
        <v>0</v>
      </c>
      <c r="L75" s="63">
        <f t="shared" si="38"/>
        <v>0</v>
      </c>
      <c r="M75" s="63">
        <f t="shared" si="38"/>
        <v>0</v>
      </c>
      <c r="N75" s="63">
        <f>+N39</f>
        <v>0</v>
      </c>
      <c r="O75" s="63">
        <f>SUM(B75:N75)</f>
        <v>1559161</v>
      </c>
      <c r="P75" s="124"/>
    </row>
    <row r="76" spans="1:16" x14ac:dyDescent="0.25">
      <c r="A76" s="24"/>
      <c r="B76" s="40"/>
      <c r="C76" s="40"/>
      <c r="D76" s="40"/>
      <c r="E76" s="40"/>
      <c r="F76" s="40"/>
      <c r="G76" s="24"/>
      <c r="H76" s="24"/>
      <c r="I76" s="24"/>
      <c r="J76" s="24"/>
      <c r="K76" s="24"/>
      <c r="L76" s="24"/>
      <c r="M76" s="24"/>
      <c r="N76" s="24"/>
      <c r="O76" s="24"/>
    </row>
    <row r="77" spans="1:16" x14ac:dyDescent="0.25">
      <c r="A77" s="71" t="s">
        <v>21</v>
      </c>
      <c r="B77" s="70"/>
      <c r="C77" s="70"/>
      <c r="D77" s="70"/>
      <c r="E77" s="70"/>
      <c r="F77" s="70"/>
      <c r="G77" s="71"/>
      <c r="H77" s="71"/>
      <c r="I77" s="71"/>
      <c r="J77" s="71"/>
      <c r="K77" s="67"/>
      <c r="L77" s="67"/>
      <c r="M77" s="67"/>
      <c r="N77" s="67"/>
      <c r="O77" s="67"/>
      <c r="P77" s="13"/>
    </row>
    <row r="78" spans="1:16" x14ac:dyDescent="0.25">
      <c r="A78" s="121" t="s">
        <v>6</v>
      </c>
      <c r="B78" s="183">
        <f>+B38</f>
        <v>0</v>
      </c>
      <c r="C78" s="183">
        <f>+C38</f>
        <v>0</v>
      </c>
      <c r="D78" s="183">
        <f t="shared" ref="D78:M78" si="39">+D38</f>
        <v>0</v>
      </c>
      <c r="E78" s="183">
        <f>+E38</f>
        <v>0</v>
      </c>
      <c r="F78" s="183">
        <f t="shared" si="39"/>
        <v>0</v>
      </c>
      <c r="G78" s="183">
        <f t="shared" si="39"/>
        <v>3064</v>
      </c>
      <c r="H78" s="183">
        <f t="shared" si="39"/>
        <v>0</v>
      </c>
      <c r="I78" s="183">
        <f>+I38</f>
        <v>0</v>
      </c>
      <c r="J78" s="183">
        <f t="shared" si="39"/>
        <v>0</v>
      </c>
      <c r="K78" s="183">
        <f t="shared" si="39"/>
        <v>0</v>
      </c>
      <c r="L78" s="183">
        <f>+L38</f>
        <v>0</v>
      </c>
      <c r="M78" s="183">
        <f t="shared" si="39"/>
        <v>0</v>
      </c>
      <c r="N78" s="183">
        <f>+N38</f>
        <v>0</v>
      </c>
      <c r="O78" s="114"/>
      <c r="P78" s="139">
        <f>MAX(B78:N78)</f>
        <v>3064</v>
      </c>
    </row>
    <row r="79" spans="1:16" x14ac:dyDescent="0.25">
      <c r="A79" s="113" t="s">
        <v>18</v>
      </c>
      <c r="B79" s="113" t="e">
        <f>+B74/B78</f>
        <v>#DIV/0!</v>
      </c>
      <c r="C79" s="113" t="e">
        <f>+C74/C78</f>
        <v>#DIV/0!</v>
      </c>
      <c r="D79" s="113" t="e">
        <f t="shared" ref="D79:M79" si="40">+D74/D78</f>
        <v>#DIV/0!</v>
      </c>
      <c r="E79" s="113" t="e">
        <f t="shared" si="40"/>
        <v>#DIV/0!</v>
      </c>
      <c r="F79" s="113" t="e">
        <f t="shared" si="40"/>
        <v>#DIV/0!</v>
      </c>
      <c r="G79" s="113">
        <f t="shared" si="40"/>
        <v>1</v>
      </c>
      <c r="H79" s="113" t="e">
        <f t="shared" si="40"/>
        <v>#DIV/0!</v>
      </c>
      <c r="I79" s="112" t="e">
        <f t="shared" si="40"/>
        <v>#DIV/0!</v>
      </c>
      <c r="J79" s="112" t="e">
        <f t="shared" si="40"/>
        <v>#DIV/0!</v>
      </c>
      <c r="K79" s="112" t="e">
        <f t="shared" si="40"/>
        <v>#DIV/0!</v>
      </c>
      <c r="L79" s="112" t="e">
        <f t="shared" si="40"/>
        <v>#DIV/0!</v>
      </c>
      <c r="M79" s="112" t="e">
        <f t="shared" si="40"/>
        <v>#DIV/0!</v>
      </c>
      <c r="N79" s="112" t="e">
        <f>+N74/N78</f>
        <v>#DIV/0!</v>
      </c>
      <c r="O79" s="5"/>
      <c r="P79" s="112">
        <f>+P74/P78</f>
        <v>1</v>
      </c>
    </row>
    <row r="80" spans="1:16" x14ac:dyDescent="0.25">
      <c r="A80" s="115"/>
      <c r="B80" s="115"/>
      <c r="C80" s="115"/>
      <c r="D80" s="115"/>
      <c r="E80" s="115"/>
      <c r="F80" s="115"/>
      <c r="G80" s="115"/>
      <c r="H80" s="115"/>
      <c r="I80" s="115"/>
      <c r="J80" s="115"/>
      <c r="K80" s="115"/>
      <c r="L80" s="115"/>
      <c r="M80" s="115"/>
      <c r="N80" s="115"/>
      <c r="O80" s="48"/>
      <c r="P80" s="115"/>
    </row>
    <row r="81" spans="1:16" x14ac:dyDescent="0.25">
      <c r="A81" s="115"/>
      <c r="B81" s="115"/>
      <c r="C81" s="115"/>
      <c r="D81" s="115"/>
      <c r="E81" s="115"/>
      <c r="F81" s="61" t="s">
        <v>160</v>
      </c>
      <c r="G81" s="145" t="e">
        <f>P13+P20+P27</f>
        <v>#N/A</v>
      </c>
      <c r="H81" s="115"/>
      <c r="I81" s="115"/>
      <c r="J81" s="115"/>
      <c r="K81" s="115"/>
      <c r="L81" s="115"/>
      <c r="M81" s="115"/>
      <c r="N81" s="115"/>
      <c r="O81" s="48"/>
      <c r="P81" s="115"/>
    </row>
    <row r="82" spans="1:16" x14ac:dyDescent="0.25">
      <c r="A82" s="115"/>
      <c r="B82" s="115"/>
      <c r="C82" s="115"/>
      <c r="D82" s="115"/>
      <c r="E82" s="115"/>
      <c r="F82" s="61" t="s">
        <v>161</v>
      </c>
      <c r="G82" s="145">
        <f>P38</f>
        <v>3064</v>
      </c>
      <c r="H82" s="115"/>
      <c r="I82" s="115"/>
      <c r="J82" s="115"/>
      <c r="K82" s="115"/>
      <c r="L82" s="115"/>
      <c r="M82" s="115"/>
      <c r="N82" s="115"/>
      <c r="O82" s="48"/>
      <c r="P82" s="115"/>
    </row>
    <row r="83" spans="1:16" x14ac:dyDescent="0.25">
      <c r="A83" s="115"/>
      <c r="B83" s="115"/>
      <c r="C83" s="115"/>
      <c r="D83" s="115"/>
      <c r="E83" s="115"/>
      <c r="F83" s="146" t="s">
        <v>162</v>
      </c>
      <c r="G83" s="147" t="e">
        <f>G81/G82</f>
        <v>#N/A</v>
      </c>
      <c r="H83" s="115"/>
      <c r="I83" s="115"/>
      <c r="J83" s="115"/>
      <c r="K83" s="115"/>
      <c r="L83" s="115"/>
      <c r="M83" s="115"/>
      <c r="N83" s="115"/>
      <c r="O83" s="48"/>
      <c r="P83" s="115"/>
    </row>
    <row r="85" spans="1:16" x14ac:dyDescent="0.25">
      <c r="A85" s="271" t="s">
        <v>251</v>
      </c>
    </row>
    <row r="100" spans="1:1" x14ac:dyDescent="0.25">
      <c r="A100" s="271" t="s">
        <v>252</v>
      </c>
    </row>
    <row r="130" spans="1:1" x14ac:dyDescent="0.25">
      <c r="A130" s="271" t="s">
        <v>253</v>
      </c>
    </row>
    <row r="131" spans="1:1" x14ac:dyDescent="0.25">
      <c r="A131" t="s">
        <v>433</v>
      </c>
    </row>
    <row r="133" spans="1:1" x14ac:dyDescent="0.25">
      <c r="A133" s="271" t="s">
        <v>254</v>
      </c>
    </row>
    <row r="164" spans="1:1" x14ac:dyDescent="0.25">
      <c r="A164" s="272" t="s">
        <v>12</v>
      </c>
    </row>
    <row r="195" spans="1:1" x14ac:dyDescent="0.25">
      <c r="A195" s="272" t="s">
        <v>13</v>
      </c>
    </row>
    <row r="196" spans="1:1" x14ac:dyDescent="0.25">
      <c r="A196" t="s">
        <v>434</v>
      </c>
    </row>
  </sheetData>
  <mergeCells count="21">
    <mergeCell ref="P9:P10"/>
    <mergeCell ref="F9:F10"/>
    <mergeCell ref="G9:G10"/>
    <mergeCell ref="H9:H10"/>
    <mergeCell ref="I9:I10"/>
    <mergeCell ref="K9:K10"/>
    <mergeCell ref="N9:N10"/>
    <mergeCell ref="L9:L10"/>
    <mergeCell ref="M9:M10"/>
    <mergeCell ref="J9:J10"/>
    <mergeCell ref="O9:O10"/>
    <mergeCell ref="A9:A10"/>
    <mergeCell ref="B9:B10"/>
    <mergeCell ref="D9:D10"/>
    <mergeCell ref="E9:E10"/>
    <mergeCell ref="E2:M2"/>
    <mergeCell ref="E3:M3"/>
    <mergeCell ref="E4:M4"/>
    <mergeCell ref="E5:M5"/>
    <mergeCell ref="E6:M6"/>
    <mergeCell ref="C9:C10"/>
  </mergeCells>
  <printOptions horizontalCentered="1" verticalCentered="1"/>
  <pageMargins left="0" right="0" top="0.74803149606299213" bottom="0.74803149606299213" header="0.31496062992125984" footer="0.31496062992125984"/>
  <pageSetup scale="70" orientation="landscape" r:id="rId1"/>
  <drawing r:id="rId2"/>
  <legacy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Hoja14">
    <tabColor theme="8" tint="0.59999389629810485"/>
  </sheetPr>
  <dimension ref="A1:R162"/>
  <sheetViews>
    <sheetView topLeftCell="A37" zoomScale="130" zoomScaleNormal="130" workbookViewId="0">
      <selection activeCell="B49" sqref="B49"/>
    </sheetView>
  </sheetViews>
  <sheetFormatPr baseColWidth="10" defaultRowHeight="13.2" x14ac:dyDescent="0.25"/>
  <cols>
    <col min="1" max="1" width="16.88671875" bestFit="1" customWidth="1"/>
    <col min="2" max="16" width="15.6640625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63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255</v>
      </c>
      <c r="B12" s="262"/>
      <c r="C12" s="262"/>
      <c r="D12" s="262"/>
      <c r="E12" s="262"/>
      <c r="F12" s="263"/>
      <c r="G12" s="264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 t="e">
        <f>VLOOKUP($A$12,TABLA_1[],5,FALSE)</f>
        <v>#N/A</v>
      </c>
      <c r="C13" s="380" t="e">
        <f>VLOOKUP($A$12,TABLA_2[],5,FALSE)</f>
        <v>#N/A</v>
      </c>
      <c r="D13" s="380" t="e">
        <f>VLOOKUP($A$12,TABLA_3[],5,FALSE)</f>
        <v>#N/A</v>
      </c>
      <c r="E13" s="380" t="e">
        <f>VLOOKUP($A$12,TABLA_4[],5,FALSE)</f>
        <v>#N/A</v>
      </c>
      <c r="F13" s="380" t="e">
        <f>VLOOKUP($A$12,TABLA_5[],5,FALSE)</f>
        <v>#N/A</v>
      </c>
      <c r="G13" s="380" t="e">
        <f>VLOOKUP($A$12,TABLA_6[],5,FALSE)</f>
        <v>#N/A</v>
      </c>
      <c r="H13" s="380" t="e">
        <f>VLOOKUP($A$12,TABLA_7[],5,FALSE)</f>
        <v>#N/A</v>
      </c>
      <c r="I13" s="380" t="e">
        <f>VLOOKUP($A$12,TABLA_8[],5,FALSE)</f>
        <v>#N/A</v>
      </c>
      <c r="J13" s="380" t="e">
        <f>VLOOKUP($A$12,TABLA_9[],5,FALSE)</f>
        <v>#N/A</v>
      </c>
      <c r="K13" s="380" t="e">
        <f>VLOOKUP($A$12,TABLA_10[],5,FALSE)</f>
        <v>#N/A</v>
      </c>
      <c r="L13" s="380" t="e">
        <f>VLOOKUP($A$12,TABLA_11[],5,FALSE)</f>
        <v>#N/A</v>
      </c>
      <c r="M13" s="380" t="e">
        <f>VLOOKUP($A$12,TABLA_12[],5,FALSE)</f>
        <v>#N/A</v>
      </c>
      <c r="N13" s="380" t="e">
        <f>VLOOKUP($A$12,TABLA_13[],5,FALSE)</f>
        <v>#N/A</v>
      </c>
      <c r="O13" s="6"/>
      <c r="P13" s="43" t="e">
        <f>MAX(B13:N13)</f>
        <v>#N/A</v>
      </c>
    </row>
    <row r="14" spans="1:16" x14ac:dyDescent="0.25">
      <c r="A14" s="3" t="s">
        <v>7</v>
      </c>
      <c r="B14" s="380" t="e">
        <f>VLOOKUP($A$12,TABLA_1[],8,FALSE)</f>
        <v>#N/A</v>
      </c>
      <c r="C14" s="380" t="e">
        <f>VLOOKUP($A$12,TABLA_2[],8,FALSE)</f>
        <v>#N/A</v>
      </c>
      <c r="D14" s="380" t="e">
        <f>VLOOKUP($A$12,TABLA_3[],8,FALSE)</f>
        <v>#N/A</v>
      </c>
      <c r="E14" s="380" t="e">
        <f>VLOOKUP($A$12,TABLA_4[],8,FALSE)</f>
        <v>#N/A</v>
      </c>
      <c r="F14" s="380" t="e">
        <f>VLOOKUP($A$12,TABLA_5[],8,FALSE)</f>
        <v>#N/A</v>
      </c>
      <c r="G14" s="380" t="e">
        <f>VLOOKUP($A$12,TABLA_6[],8,FALSE)</f>
        <v>#N/A</v>
      </c>
      <c r="H14" s="380" t="e">
        <f>VLOOKUP($A$12,TABLA_7[],8,FALSE)</f>
        <v>#N/A</v>
      </c>
      <c r="I14" s="380" t="e">
        <f>VLOOKUP($A$12,TABLA_8[],8,FALSE)</f>
        <v>#N/A</v>
      </c>
      <c r="J14" s="380" t="e">
        <f>VLOOKUP($A$12,TABLA_9[],8,FALSE)</f>
        <v>#N/A</v>
      </c>
      <c r="K14" s="380" t="e">
        <f>VLOOKUP($A$12,TABLA_10[],8,FALSE)</f>
        <v>#N/A</v>
      </c>
      <c r="L14" s="380" t="e">
        <f>VLOOKUP($A$12,TABLA_11[],8,FALSE)</f>
        <v>#N/A</v>
      </c>
      <c r="M14" s="380" t="e">
        <f>VLOOKUP($A$12,TABLA_12[],8,FALSE)</f>
        <v>#N/A</v>
      </c>
      <c r="N14" s="380" t="e">
        <f>VLOOKUP($A$12,TABLA_13[],8,FALSE)</f>
        <v>#N/A</v>
      </c>
      <c r="O14" s="47" t="e">
        <f>SUM(B14:N14)</f>
        <v>#N/A</v>
      </c>
      <c r="P14" s="43" t="e">
        <f>SUM(B14:N14)/(COUNTIF(B14:N14,"&gt;0"))</f>
        <v>#N/A</v>
      </c>
    </row>
    <row r="15" spans="1:16" x14ac:dyDescent="0.25">
      <c r="A15" s="3" t="s">
        <v>16</v>
      </c>
      <c r="B15" s="37" t="e">
        <f t="shared" ref="B15:H15" si="0">+((B13/B17)^2-(B13^2))^(0.5)</f>
        <v>#N/A</v>
      </c>
      <c r="C15" s="37" t="e">
        <f>+((C13/C17)^2-(C13^2))^(0.5)</f>
        <v>#N/A</v>
      </c>
      <c r="D15" s="37" t="e">
        <f t="shared" si="0"/>
        <v>#N/A</v>
      </c>
      <c r="E15" s="37" t="e">
        <f t="shared" si="0"/>
        <v>#N/A</v>
      </c>
      <c r="F15" s="37" t="e">
        <f t="shared" si="0"/>
        <v>#N/A</v>
      </c>
      <c r="G15" s="37" t="e">
        <f t="shared" si="0"/>
        <v>#N/A</v>
      </c>
      <c r="H15" s="37" t="e">
        <f t="shared" si="0"/>
        <v>#N/A</v>
      </c>
      <c r="I15" s="37" t="e">
        <f t="shared" ref="I15:N15" si="1">+((I13/I17)^2-(I13^2))^(0.5)</f>
        <v>#N/A</v>
      </c>
      <c r="J15" s="37" t="e">
        <f t="shared" si="1"/>
        <v>#N/A</v>
      </c>
      <c r="K15" s="37" t="e">
        <f t="shared" si="1"/>
        <v>#N/A</v>
      </c>
      <c r="L15" s="37" t="e">
        <f t="shared" si="1"/>
        <v>#N/A</v>
      </c>
      <c r="M15" s="37" t="e">
        <f t="shared" si="1"/>
        <v>#N/A</v>
      </c>
      <c r="N15" s="37" t="e">
        <f t="shared" si="1"/>
        <v>#N/A</v>
      </c>
      <c r="O15" s="37"/>
      <c r="P15" s="4" t="e">
        <f>HLOOKUP(P13,B13:N15,3,FALSE)</f>
        <v>#N/A</v>
      </c>
    </row>
    <row r="16" spans="1:16" x14ac:dyDescent="0.25">
      <c r="A16" s="3" t="s">
        <v>8</v>
      </c>
      <c r="B16" s="37" t="e">
        <f t="shared" ref="B16:H16" si="2">+B14/(24*B$8)</f>
        <v>#N/A</v>
      </c>
      <c r="C16" s="37" t="e">
        <f>+C14/(24*C$8)</f>
        <v>#N/A</v>
      </c>
      <c r="D16" s="37" t="e">
        <f t="shared" si="2"/>
        <v>#N/A</v>
      </c>
      <c r="E16" s="37" t="e">
        <f t="shared" si="2"/>
        <v>#N/A</v>
      </c>
      <c r="F16" s="37" t="e">
        <f t="shared" si="2"/>
        <v>#N/A</v>
      </c>
      <c r="G16" s="37" t="e">
        <f t="shared" si="2"/>
        <v>#N/A</v>
      </c>
      <c r="H16" s="37" t="e">
        <f t="shared" si="2"/>
        <v>#N/A</v>
      </c>
      <c r="I16" s="37" t="e">
        <f t="shared" ref="I16:N16" si="3">+I14/(24*I$8)</f>
        <v>#N/A</v>
      </c>
      <c r="J16" s="37" t="e">
        <f t="shared" si="3"/>
        <v>#N/A</v>
      </c>
      <c r="K16" s="37" t="e">
        <f t="shared" si="3"/>
        <v>#N/A</v>
      </c>
      <c r="L16" s="37" t="e">
        <f t="shared" si="3"/>
        <v>#N/A</v>
      </c>
      <c r="M16" s="37" t="e">
        <f t="shared" si="3"/>
        <v>#N/A</v>
      </c>
      <c r="N16" s="37" t="e">
        <f t="shared" si="3"/>
        <v>#N/A</v>
      </c>
      <c r="O16" s="6" t="e">
        <f>SUM(O14)/(24*O$8)</f>
        <v>#N/A</v>
      </c>
      <c r="P16" s="4" t="e">
        <f>O14/(COUNTIF(B14:N14,"&gt;0")*720)</f>
        <v>#N/A</v>
      </c>
    </row>
    <row r="17" spans="1:16" x14ac:dyDescent="0.25">
      <c r="A17" s="3" t="s">
        <v>9</v>
      </c>
      <c r="B17" s="380" t="e">
        <f>VLOOKUP($A$12,TABLA_1[],10,FALSE)</f>
        <v>#N/A</v>
      </c>
      <c r="C17" s="380" t="e">
        <f>VLOOKUP($A$12,TABLA_2[],10,FALSE)</f>
        <v>#N/A</v>
      </c>
      <c r="D17" s="380" t="e">
        <f>VLOOKUP($A$12,TABLA_3[],10,FALSE)</f>
        <v>#N/A</v>
      </c>
      <c r="E17" s="380" t="e">
        <f>VLOOKUP($A$12,TABLA_4[],10,FALSE)</f>
        <v>#N/A</v>
      </c>
      <c r="F17" s="380" t="e">
        <f>VLOOKUP($A$12,TABLA_5[],10,FALSE)</f>
        <v>#N/A</v>
      </c>
      <c r="G17" s="380" t="e">
        <f>VLOOKUP($A$12,TABLA_6[],10,FALSE)</f>
        <v>#N/A</v>
      </c>
      <c r="H17" s="380" t="e">
        <f>VLOOKUP($A$12,TABLA_7[],10,FALSE)</f>
        <v>#N/A</v>
      </c>
      <c r="I17" s="380" t="e">
        <f>VLOOKUP($A$12,TABLA_8[],10,FALSE)</f>
        <v>#N/A</v>
      </c>
      <c r="J17" s="380" t="e">
        <f>VLOOKUP($A$12,TABLA_9[],10,FALSE)</f>
        <v>#N/A</v>
      </c>
      <c r="K17" s="380" t="e">
        <f>VLOOKUP($A$12,TABLA_10[],10,FALSE)</f>
        <v>#N/A</v>
      </c>
      <c r="L17" s="380" t="e">
        <f>VLOOKUP($A$12,TABLA_11[],10,FALSE)</f>
        <v>#N/A</v>
      </c>
      <c r="M17" s="380" t="e">
        <f>VLOOKUP($A$12,TABLA_12[],10,FALSE)</f>
        <v>#N/A</v>
      </c>
      <c r="N17" s="380" t="e">
        <f>VLOOKUP($A$12,TABLA_13[],10,FALSE)</f>
        <v>#N/A</v>
      </c>
      <c r="O17" s="6"/>
      <c r="P17" s="4" t="e">
        <f>COS(ATAN(P15/P13))</f>
        <v>#N/A</v>
      </c>
    </row>
    <row r="18" spans="1:16" x14ac:dyDescent="0.25">
      <c r="A18" s="3" t="s">
        <v>17</v>
      </c>
      <c r="B18" s="37" t="e">
        <f t="shared" ref="B18:H18" si="4">+B16/B13</f>
        <v>#N/A</v>
      </c>
      <c r="C18" s="37" t="e">
        <f>+C16/C13</f>
        <v>#N/A</v>
      </c>
      <c r="D18" s="37" t="e">
        <f t="shared" si="4"/>
        <v>#N/A</v>
      </c>
      <c r="E18" s="37" t="e">
        <f t="shared" si="4"/>
        <v>#N/A</v>
      </c>
      <c r="F18" s="37" t="e">
        <f t="shared" si="4"/>
        <v>#N/A</v>
      </c>
      <c r="G18" s="37" t="e">
        <f t="shared" si="4"/>
        <v>#N/A</v>
      </c>
      <c r="H18" s="37" t="e">
        <f t="shared" si="4"/>
        <v>#N/A</v>
      </c>
      <c r="I18" s="37" t="e">
        <f t="shared" ref="I18:N18" si="5">+I16/I13</f>
        <v>#N/A</v>
      </c>
      <c r="J18" s="37" t="e">
        <f t="shared" si="5"/>
        <v>#N/A</v>
      </c>
      <c r="K18" s="37" t="e">
        <f t="shared" si="5"/>
        <v>#N/A</v>
      </c>
      <c r="L18" s="37" t="e">
        <f t="shared" si="5"/>
        <v>#N/A</v>
      </c>
      <c r="M18" s="37" t="e">
        <f t="shared" si="5"/>
        <v>#N/A</v>
      </c>
      <c r="N18" s="37" t="e">
        <f t="shared" si="5"/>
        <v>#N/A</v>
      </c>
      <c r="O18" s="6"/>
      <c r="P18" s="4" t="e">
        <f>+P16/P13</f>
        <v>#N/A</v>
      </c>
    </row>
    <row r="19" spans="1:16" s="24" customFormat="1" x14ac:dyDescent="0.25">
      <c r="A19" s="271" t="s">
        <v>256</v>
      </c>
      <c r="B19" s="65"/>
      <c r="C19" s="65"/>
      <c r="D19" s="65"/>
      <c r="E19" s="65"/>
      <c r="F19" s="65"/>
      <c r="G19" s="66"/>
      <c r="H19" s="66"/>
      <c r="I19" s="66"/>
      <c r="J19" s="66"/>
      <c r="K19" s="50"/>
      <c r="L19" s="50"/>
      <c r="M19" s="50"/>
      <c r="N19" s="50"/>
      <c r="O19" s="50"/>
      <c r="P19" s="50"/>
    </row>
    <row r="20" spans="1:16" x14ac:dyDescent="0.25">
      <c r="A20" s="3" t="s">
        <v>6</v>
      </c>
      <c r="B20" s="380" t="e">
        <f>VLOOKUP($A$19,TABLA_1[],5,FALSE)</f>
        <v>#N/A</v>
      </c>
      <c r="C20" s="380" t="e">
        <f>VLOOKUP($A$19,TABLA_2[],5,FALSE)</f>
        <v>#N/A</v>
      </c>
      <c r="D20" s="380" t="e">
        <f>VLOOKUP($A$19,TABLA_3[],5,FALSE)</f>
        <v>#N/A</v>
      </c>
      <c r="E20" s="380" t="e">
        <f>VLOOKUP($A$19,TABLA_4[],5,FALSE)</f>
        <v>#N/A</v>
      </c>
      <c r="F20" s="380" t="e">
        <f>VLOOKUP($A$19,TABLA_5[],5,FALSE)</f>
        <v>#N/A</v>
      </c>
      <c r="G20" s="380" t="e">
        <f>VLOOKUP($A$19,TABLA_6[],5,FALSE)</f>
        <v>#N/A</v>
      </c>
      <c r="H20" s="380" t="e">
        <f>VLOOKUP($A$19,TABLA_7[],5,FALSE)</f>
        <v>#N/A</v>
      </c>
      <c r="I20" s="380" t="e">
        <f>VLOOKUP($A$19,TABLA_8[],5,FALSE)</f>
        <v>#N/A</v>
      </c>
      <c r="J20" s="380" t="e">
        <f>VLOOKUP($A$19,TABLA_9[],5,FALSE)</f>
        <v>#N/A</v>
      </c>
      <c r="K20" s="380" t="e">
        <f>VLOOKUP($A$19,TABLA_10[],5,FALSE)</f>
        <v>#N/A</v>
      </c>
      <c r="L20" s="380" t="e">
        <f>VLOOKUP($A$19,TABLA_11[],5,FALSE)</f>
        <v>#N/A</v>
      </c>
      <c r="M20" s="380" t="e">
        <f>VLOOKUP($A$19,TABLA_12[],5,FALSE)</f>
        <v>#N/A</v>
      </c>
      <c r="N20" s="380" t="e">
        <f>VLOOKUP($A$19,TABLA_13[],5,FALSE)</f>
        <v>#N/A</v>
      </c>
      <c r="O20" s="6"/>
      <c r="P20" s="43" t="e">
        <f>MAX(B20:N20)</f>
        <v>#N/A</v>
      </c>
    </row>
    <row r="21" spans="1:16" x14ac:dyDescent="0.25">
      <c r="A21" s="3" t="s">
        <v>7</v>
      </c>
      <c r="B21" s="380" t="e">
        <f>VLOOKUP($A$19,TABLA_1[],8,FALSE)</f>
        <v>#N/A</v>
      </c>
      <c r="C21" s="380" t="e">
        <f>VLOOKUP($A$19,TABLA_2[],8,FALSE)</f>
        <v>#N/A</v>
      </c>
      <c r="D21" s="380" t="e">
        <f>VLOOKUP($A$19,TABLA_3[],8,FALSE)</f>
        <v>#N/A</v>
      </c>
      <c r="E21" s="380" t="e">
        <f>VLOOKUP($A$19,TABLA_4[],8,FALSE)</f>
        <v>#N/A</v>
      </c>
      <c r="F21" s="380" t="e">
        <f>VLOOKUP($A$19,TABLA_5[],8,FALSE)</f>
        <v>#N/A</v>
      </c>
      <c r="G21" s="380" t="e">
        <f>VLOOKUP($A$19,TABLA_6[],8,FALSE)</f>
        <v>#N/A</v>
      </c>
      <c r="H21" s="380" t="e">
        <f>VLOOKUP($A$19,TABLA_7[],8,FALSE)</f>
        <v>#N/A</v>
      </c>
      <c r="I21" s="380" t="e">
        <f>VLOOKUP($A$19,TABLA_8[],8,FALSE)</f>
        <v>#N/A</v>
      </c>
      <c r="J21" s="380" t="e">
        <f>VLOOKUP($A$19,TABLA_9[],8,FALSE)</f>
        <v>#N/A</v>
      </c>
      <c r="K21" s="380" t="e">
        <f>VLOOKUP($A$19,TABLA_10[],8,FALSE)</f>
        <v>#N/A</v>
      </c>
      <c r="L21" s="380" t="e">
        <f>VLOOKUP($A$19,TABLA_11[],8,FALSE)</f>
        <v>#N/A</v>
      </c>
      <c r="M21" s="380" t="e">
        <f>VLOOKUP($A$19,TABLA_12[],8,FALSE)</f>
        <v>#N/A</v>
      </c>
      <c r="N21" s="380" t="e">
        <f>VLOOKUP($A$19,TABLA_13[],8,FALSE)</f>
        <v>#N/A</v>
      </c>
      <c r="O21" s="47" t="e">
        <f>SUM(B21:N21)</f>
        <v>#N/A</v>
      </c>
      <c r="P21" s="43" t="e">
        <f>SUM(B21:N21)/(COUNTIF(B21:N21,"&gt;0"))</f>
        <v>#N/A</v>
      </c>
    </row>
    <row r="22" spans="1:16" x14ac:dyDescent="0.25">
      <c r="A22" s="3" t="s">
        <v>16</v>
      </c>
      <c r="B22" s="37" t="e">
        <f t="shared" ref="B22:H22" si="6">+((B20/B24)^2-(B20^2))^(0.5)</f>
        <v>#N/A</v>
      </c>
      <c r="C22" s="37" t="e">
        <f>+((C20/C24)^2-(C20^2))^(0.5)</f>
        <v>#N/A</v>
      </c>
      <c r="D22" s="37" t="e">
        <f t="shared" si="6"/>
        <v>#N/A</v>
      </c>
      <c r="E22" s="37" t="e">
        <f t="shared" si="6"/>
        <v>#N/A</v>
      </c>
      <c r="F22" s="37" t="e">
        <f t="shared" si="6"/>
        <v>#N/A</v>
      </c>
      <c r="G22" s="37" t="e">
        <f t="shared" si="6"/>
        <v>#N/A</v>
      </c>
      <c r="H22" s="37" t="e">
        <f t="shared" si="6"/>
        <v>#N/A</v>
      </c>
      <c r="I22" s="37" t="e">
        <f t="shared" ref="I22:N22" si="7">+((I20/I24)^2-(I20^2))^(0.5)</f>
        <v>#N/A</v>
      </c>
      <c r="J22" s="37" t="e">
        <f t="shared" si="7"/>
        <v>#N/A</v>
      </c>
      <c r="K22" s="37" t="e">
        <f t="shared" si="7"/>
        <v>#N/A</v>
      </c>
      <c r="L22" s="37" t="e">
        <f t="shared" si="7"/>
        <v>#N/A</v>
      </c>
      <c r="M22" s="37" t="e">
        <f t="shared" si="7"/>
        <v>#N/A</v>
      </c>
      <c r="N22" s="37" t="e">
        <f t="shared" si="7"/>
        <v>#N/A</v>
      </c>
      <c r="O22" s="37"/>
      <c r="P22" s="4" t="e">
        <f>HLOOKUP(P20,B20:N22,3,FALSE)</f>
        <v>#N/A</v>
      </c>
    </row>
    <row r="23" spans="1:16" x14ac:dyDescent="0.25">
      <c r="A23" s="3" t="s">
        <v>8</v>
      </c>
      <c r="B23" s="37" t="e">
        <f t="shared" ref="B23:H23" si="8">+B21/(24*B$8)</f>
        <v>#N/A</v>
      </c>
      <c r="C23" s="37" t="e">
        <f>+C21/(24*C$8)</f>
        <v>#N/A</v>
      </c>
      <c r="D23" s="37" t="e">
        <f t="shared" si="8"/>
        <v>#N/A</v>
      </c>
      <c r="E23" s="37" t="e">
        <f t="shared" si="8"/>
        <v>#N/A</v>
      </c>
      <c r="F23" s="37" t="e">
        <f t="shared" si="8"/>
        <v>#N/A</v>
      </c>
      <c r="G23" s="37" t="e">
        <f t="shared" si="8"/>
        <v>#N/A</v>
      </c>
      <c r="H23" s="37" t="e">
        <f t="shared" si="8"/>
        <v>#N/A</v>
      </c>
      <c r="I23" s="37" t="e">
        <f t="shared" ref="I23:N23" si="9">+I21/(24*I$8)</f>
        <v>#N/A</v>
      </c>
      <c r="J23" s="37" t="e">
        <f t="shared" si="9"/>
        <v>#N/A</v>
      </c>
      <c r="K23" s="37" t="e">
        <f t="shared" si="9"/>
        <v>#N/A</v>
      </c>
      <c r="L23" s="37" t="e">
        <f t="shared" si="9"/>
        <v>#N/A</v>
      </c>
      <c r="M23" s="37" t="e">
        <f t="shared" si="9"/>
        <v>#N/A</v>
      </c>
      <c r="N23" s="37" t="e">
        <f t="shared" si="9"/>
        <v>#N/A</v>
      </c>
      <c r="O23" s="6" t="e">
        <f>SUM(O21)/(24*O$8)</f>
        <v>#N/A</v>
      </c>
      <c r="P23" s="4" t="e">
        <f>O21/(COUNTIF(B21:N21,"&gt;0")*720)</f>
        <v>#N/A</v>
      </c>
    </row>
    <row r="24" spans="1:16" x14ac:dyDescent="0.25">
      <c r="A24" s="3" t="s">
        <v>9</v>
      </c>
      <c r="B24" s="380" t="e">
        <f>VLOOKUP($A$19,TABLA_1[],10,FALSE)</f>
        <v>#N/A</v>
      </c>
      <c r="C24" s="380" t="e">
        <f>VLOOKUP($A$19,TABLA_2[],10,FALSE)</f>
        <v>#N/A</v>
      </c>
      <c r="D24" s="380" t="e">
        <f>VLOOKUP($A$19,TABLA_3[],10,FALSE)</f>
        <v>#N/A</v>
      </c>
      <c r="E24" s="380" t="e">
        <f>VLOOKUP($A$19,TABLA_4[],10,FALSE)</f>
        <v>#N/A</v>
      </c>
      <c r="F24" s="380" t="e">
        <f>VLOOKUP($A$19,TABLA_5[],10,FALSE)</f>
        <v>#N/A</v>
      </c>
      <c r="G24" s="380" t="e">
        <f>VLOOKUP($A$19,TABLA_6[],10,FALSE)</f>
        <v>#N/A</v>
      </c>
      <c r="H24" s="380" t="e">
        <f>VLOOKUP($A$19,TABLA_7[],10,FALSE)</f>
        <v>#N/A</v>
      </c>
      <c r="I24" s="380" t="e">
        <f>VLOOKUP($A$19,TABLA_8[],10,FALSE)</f>
        <v>#N/A</v>
      </c>
      <c r="J24" s="380" t="e">
        <f>VLOOKUP($A$19,TABLA_9[],10,FALSE)</f>
        <v>#N/A</v>
      </c>
      <c r="K24" s="380" t="e">
        <f>VLOOKUP($A$19,TABLA_10[],10,FALSE)</f>
        <v>#N/A</v>
      </c>
      <c r="L24" s="380" t="e">
        <f>VLOOKUP($A$19,TABLA_11[],10,FALSE)</f>
        <v>#N/A</v>
      </c>
      <c r="M24" s="380" t="e">
        <f>VLOOKUP($A$19,TABLA_12[],10,FALSE)</f>
        <v>#N/A</v>
      </c>
      <c r="N24" s="380" t="e">
        <f>VLOOKUP($A$19,TABLA_13[],10,FALSE)</f>
        <v>#N/A</v>
      </c>
      <c r="O24" s="6"/>
      <c r="P24" s="4" t="e">
        <f>COS(ATAN(P22/P20))</f>
        <v>#N/A</v>
      </c>
    </row>
    <row r="25" spans="1:16" x14ac:dyDescent="0.25">
      <c r="A25" s="3" t="s">
        <v>17</v>
      </c>
      <c r="B25" s="37" t="e">
        <f t="shared" ref="B25:H25" si="10">+B23/B20</f>
        <v>#N/A</v>
      </c>
      <c r="C25" s="37" t="e">
        <f>+C23/C20</f>
        <v>#N/A</v>
      </c>
      <c r="D25" s="37" t="e">
        <f t="shared" si="10"/>
        <v>#N/A</v>
      </c>
      <c r="E25" s="37" t="e">
        <f t="shared" si="10"/>
        <v>#N/A</v>
      </c>
      <c r="F25" s="37" t="e">
        <f t="shared" si="10"/>
        <v>#N/A</v>
      </c>
      <c r="G25" s="37" t="e">
        <f t="shared" si="10"/>
        <v>#N/A</v>
      </c>
      <c r="H25" s="37" t="e">
        <f t="shared" si="10"/>
        <v>#N/A</v>
      </c>
      <c r="I25" s="37" t="e">
        <f t="shared" ref="I25:N25" si="11">+I23/I20</f>
        <v>#N/A</v>
      </c>
      <c r="J25" s="37" t="e">
        <f t="shared" si="11"/>
        <v>#N/A</v>
      </c>
      <c r="K25" s="37" t="e">
        <f t="shared" si="11"/>
        <v>#N/A</v>
      </c>
      <c r="L25" s="37" t="e">
        <f t="shared" si="11"/>
        <v>#N/A</v>
      </c>
      <c r="M25" s="37" t="e">
        <f t="shared" si="11"/>
        <v>#N/A</v>
      </c>
      <c r="N25" s="37" t="e">
        <f t="shared" si="11"/>
        <v>#N/A</v>
      </c>
      <c r="O25" s="6"/>
      <c r="P25" s="4" t="e">
        <f>+P23/P20</f>
        <v>#N/A</v>
      </c>
    </row>
    <row r="26" spans="1:16" s="24" customFormat="1" x14ac:dyDescent="0.25">
      <c r="A26" s="271" t="s">
        <v>257</v>
      </c>
      <c r="B26" s="65"/>
      <c r="C26" s="65"/>
      <c r="D26" s="65"/>
      <c r="E26" s="65"/>
      <c r="F26" s="65"/>
      <c r="G26" s="66"/>
      <c r="H26" s="66"/>
      <c r="I26" s="66"/>
      <c r="J26" s="66"/>
      <c r="K26" s="50"/>
      <c r="L26" s="50"/>
      <c r="M26" s="50"/>
      <c r="N26" s="50"/>
      <c r="O26" s="50"/>
      <c r="P26" s="50"/>
    </row>
    <row r="27" spans="1:16" x14ac:dyDescent="0.25">
      <c r="A27" s="3" t="s">
        <v>6</v>
      </c>
      <c r="B27" s="381" t="e">
        <f>VLOOKUP($A$26,TABLA_1[],5,FALSE)</f>
        <v>#N/A</v>
      </c>
      <c r="C27" s="381" t="e">
        <f>VLOOKUP($A$26,TABLA_2[],5,FALSE)</f>
        <v>#N/A</v>
      </c>
      <c r="D27" s="381" t="e">
        <f>VLOOKUP($A$26,TABLA_3[],5,FALSE)</f>
        <v>#N/A</v>
      </c>
      <c r="E27" s="381" t="e">
        <f>VLOOKUP($A$26,TABLA_4[],5,FALSE)</f>
        <v>#N/A</v>
      </c>
      <c r="F27" s="381" t="e">
        <f>VLOOKUP($A$26,TABLA_5[],5,FALSE)</f>
        <v>#N/A</v>
      </c>
      <c r="G27" s="381" t="e">
        <f>VLOOKUP($A$26,TABLA_6[],5,FALSE)</f>
        <v>#N/A</v>
      </c>
      <c r="H27" s="381" t="e">
        <f>VLOOKUP($A$26,TABLA_7[],5,FALSE)</f>
        <v>#N/A</v>
      </c>
      <c r="I27" s="381" t="e">
        <f>VLOOKUP($A$26,TABLA_8[],5,FALSE)</f>
        <v>#N/A</v>
      </c>
      <c r="J27" s="381" t="e">
        <f>VLOOKUP($A$26,TABLA_9[],5,FALSE)</f>
        <v>#N/A</v>
      </c>
      <c r="K27" s="381" t="e">
        <f>VLOOKUP($A$26,TABLA_10[],5,FALSE)</f>
        <v>#N/A</v>
      </c>
      <c r="L27" s="381" t="e">
        <f>VLOOKUP($A$26,TABLA_11[],5,FALSE)</f>
        <v>#N/A</v>
      </c>
      <c r="M27" s="381" t="e">
        <f>VLOOKUP($A$26,TABLA_12[],5,FALSE)</f>
        <v>#N/A</v>
      </c>
      <c r="N27" s="381" t="e">
        <f>VLOOKUP($A$26,TABLA_13[],5,FALSE)</f>
        <v>#N/A</v>
      </c>
      <c r="O27" s="6"/>
      <c r="P27" s="43" t="e">
        <f>MAX(B27:N27)</f>
        <v>#N/A</v>
      </c>
    </row>
    <row r="28" spans="1:16" x14ac:dyDescent="0.25">
      <c r="A28" s="3" t="s">
        <v>7</v>
      </c>
      <c r="B28" s="382" t="e">
        <f>VLOOKUP($A$26,TABLA_1[],8,FALSE)</f>
        <v>#N/A</v>
      </c>
      <c r="C28" s="382" t="e">
        <f>VLOOKUP($A$26,TABLA_2[],8,FALSE)</f>
        <v>#N/A</v>
      </c>
      <c r="D28" s="382" t="e">
        <f>VLOOKUP($A$26,TABLA_3[],8,FALSE)</f>
        <v>#N/A</v>
      </c>
      <c r="E28" s="382" t="e">
        <f>VLOOKUP($A$26,TABLA_4[],8,FALSE)</f>
        <v>#N/A</v>
      </c>
      <c r="F28" s="382" t="e">
        <f>VLOOKUP($A$26,TABLA_5[],8,FALSE)</f>
        <v>#N/A</v>
      </c>
      <c r="G28" s="382" t="e">
        <f>VLOOKUP($A$26,TABLA_6[],8,FALSE)</f>
        <v>#N/A</v>
      </c>
      <c r="H28" s="382" t="e">
        <f>VLOOKUP($A$26,TABLA_7[],8,FALSE)</f>
        <v>#N/A</v>
      </c>
      <c r="I28" s="382" t="e">
        <f>VLOOKUP($A$26,TABLA_8[],8,FALSE)</f>
        <v>#N/A</v>
      </c>
      <c r="J28" s="382" t="e">
        <f>VLOOKUP($A$26,TABLA_9[],8,FALSE)</f>
        <v>#N/A</v>
      </c>
      <c r="K28" s="382" t="e">
        <f>VLOOKUP($A$26,TABLA_10[],8,FALSE)</f>
        <v>#N/A</v>
      </c>
      <c r="L28" s="382" t="e">
        <f>VLOOKUP($A$26,TABLA_11[],8,FALSE)</f>
        <v>#N/A</v>
      </c>
      <c r="M28" s="382" t="e">
        <f>VLOOKUP($A$26,TABLA_12[],8,FALSE)</f>
        <v>#N/A</v>
      </c>
      <c r="N28" s="382" t="e">
        <f>VLOOKUP($A$26,TABLA_13[],8,FALSE)</f>
        <v>#N/A</v>
      </c>
      <c r="O28" s="47" t="e">
        <f>SUM(B28:N28)</f>
        <v>#N/A</v>
      </c>
      <c r="P28" s="43" t="e">
        <f>SUM(B28:N28)/(COUNTIF(B28:N28,"&gt;0"))</f>
        <v>#N/A</v>
      </c>
    </row>
    <row r="29" spans="1:16" x14ac:dyDescent="0.25">
      <c r="A29" s="3" t="s">
        <v>16</v>
      </c>
      <c r="B29" s="37" t="e">
        <f t="shared" ref="B29:J29" si="12">+((B27/B31)^2-(B27^2))^(0.5)</f>
        <v>#N/A</v>
      </c>
      <c r="C29" s="37" t="e">
        <f>+((C27/C31)^2-(C27^2))^(0.5)</f>
        <v>#N/A</v>
      </c>
      <c r="D29" s="37" t="e">
        <f t="shared" si="12"/>
        <v>#N/A</v>
      </c>
      <c r="E29" s="37" t="e">
        <f t="shared" si="12"/>
        <v>#N/A</v>
      </c>
      <c r="F29" s="37" t="e">
        <f t="shared" si="12"/>
        <v>#N/A</v>
      </c>
      <c r="G29" s="37" t="e">
        <f t="shared" si="12"/>
        <v>#N/A</v>
      </c>
      <c r="H29" s="37" t="e">
        <f t="shared" si="12"/>
        <v>#N/A</v>
      </c>
      <c r="I29" s="37" t="e">
        <f t="shared" si="12"/>
        <v>#N/A</v>
      </c>
      <c r="J29" s="37" t="e">
        <f t="shared" si="12"/>
        <v>#N/A</v>
      </c>
      <c r="K29" s="37" t="e">
        <f>+((K27/K31)^2-(K27^2))^(0.5)</f>
        <v>#N/A</v>
      </c>
      <c r="L29" s="37" t="e">
        <f>+((L27/L31)^2-(L27^2))^(0.5)</f>
        <v>#N/A</v>
      </c>
      <c r="M29" s="37" t="e">
        <f>+((M27/M31)^2-(M27^2))^(0.5)</f>
        <v>#N/A</v>
      </c>
      <c r="N29" s="37" t="e">
        <f>+((N27/N31)^2-(N27^2))^(0.5)</f>
        <v>#N/A</v>
      </c>
      <c r="O29" s="37"/>
      <c r="P29" s="4" t="e">
        <f>HLOOKUP(P27,B27:N29,3,FALSE)</f>
        <v>#N/A</v>
      </c>
    </row>
    <row r="30" spans="1:16" x14ac:dyDescent="0.25">
      <c r="A30" s="3" t="s">
        <v>8</v>
      </c>
      <c r="B30" s="37" t="e">
        <f t="shared" ref="B30:H30" si="13">+B28/(24*B$8)</f>
        <v>#N/A</v>
      </c>
      <c r="C30" s="37" t="e">
        <f>+C28/(24*C$8)</f>
        <v>#N/A</v>
      </c>
      <c r="D30" s="37" t="e">
        <f t="shared" si="13"/>
        <v>#N/A</v>
      </c>
      <c r="E30" s="37" t="e">
        <f t="shared" si="13"/>
        <v>#N/A</v>
      </c>
      <c r="F30" s="37" t="e">
        <f t="shared" si="13"/>
        <v>#N/A</v>
      </c>
      <c r="G30" s="37" t="e">
        <f t="shared" si="13"/>
        <v>#N/A</v>
      </c>
      <c r="H30" s="37" t="e">
        <f t="shared" si="13"/>
        <v>#N/A</v>
      </c>
      <c r="I30" s="37" t="e">
        <f t="shared" ref="I30:N30" si="14">+I28/(24*I$8)</f>
        <v>#N/A</v>
      </c>
      <c r="J30" s="37" t="e">
        <f t="shared" si="14"/>
        <v>#N/A</v>
      </c>
      <c r="K30" s="37" t="e">
        <f t="shared" si="14"/>
        <v>#N/A</v>
      </c>
      <c r="L30" s="37" t="e">
        <f t="shared" si="14"/>
        <v>#N/A</v>
      </c>
      <c r="M30" s="37" t="e">
        <f t="shared" si="14"/>
        <v>#N/A</v>
      </c>
      <c r="N30" s="37" t="e">
        <f t="shared" si="14"/>
        <v>#N/A</v>
      </c>
      <c r="O30" s="6" t="e">
        <f>SUM(O28)/(24*O$8)</f>
        <v>#N/A</v>
      </c>
      <c r="P30" s="4" t="e">
        <f>O28/(COUNTIF(B28:N28,"&gt;0")*720)</f>
        <v>#N/A</v>
      </c>
    </row>
    <row r="31" spans="1:16" x14ac:dyDescent="0.25">
      <c r="A31" s="3" t="s">
        <v>9</v>
      </c>
      <c r="B31" s="383" t="e">
        <f>VLOOKUP($A$26,TABLA_1[],10,FALSE)</f>
        <v>#N/A</v>
      </c>
      <c r="C31" s="383" t="e">
        <f>VLOOKUP($A$26,TABLA_2[],10,FALSE)</f>
        <v>#N/A</v>
      </c>
      <c r="D31" s="383" t="e">
        <f>VLOOKUP($A$26,TABLA_3[],10,FALSE)</f>
        <v>#N/A</v>
      </c>
      <c r="E31" s="383" t="e">
        <f>VLOOKUP($A$26,TABLA_4[],10,FALSE)</f>
        <v>#N/A</v>
      </c>
      <c r="F31" s="383" t="e">
        <f>VLOOKUP($A$26,TABLA_5[],10,FALSE)</f>
        <v>#N/A</v>
      </c>
      <c r="G31" s="383" t="e">
        <f>VLOOKUP($A$26,TABLA_6[],10,FALSE)</f>
        <v>#N/A</v>
      </c>
      <c r="H31" s="383" t="e">
        <f>VLOOKUP($A$26,TABLA_7[],10,FALSE)</f>
        <v>#N/A</v>
      </c>
      <c r="I31" s="383" t="e">
        <f>VLOOKUP($A$26,TABLA_8[],10,FALSE)</f>
        <v>#N/A</v>
      </c>
      <c r="J31" s="383" t="e">
        <f>VLOOKUP($A$26,TABLA_9[],10,FALSE)</f>
        <v>#N/A</v>
      </c>
      <c r="K31" s="383" t="e">
        <f>VLOOKUP($A$26,TABLA_10[],10,FALSE)</f>
        <v>#N/A</v>
      </c>
      <c r="L31" s="383" t="e">
        <f>VLOOKUP($A$26,TABLA_11[],10,FALSE)</f>
        <v>#N/A</v>
      </c>
      <c r="M31" s="383" t="e">
        <f>VLOOKUP($A$26,TABLA_6[],10,FALSE)</f>
        <v>#N/A</v>
      </c>
      <c r="N31" s="383" t="e">
        <f>VLOOKUP($A$26,TABLA_6[],10,FALSE)</f>
        <v>#N/A</v>
      </c>
      <c r="O31" s="6"/>
      <c r="P31" s="4" t="e">
        <f>COS(ATAN(P29/P27))</f>
        <v>#N/A</v>
      </c>
    </row>
    <row r="32" spans="1:16" x14ac:dyDescent="0.25">
      <c r="A32" s="3" t="s">
        <v>17</v>
      </c>
      <c r="B32" s="37" t="e">
        <f t="shared" ref="B32:H32" si="15">+B30/B27</f>
        <v>#N/A</v>
      </c>
      <c r="C32" s="37" t="e">
        <f>+C30/C27</f>
        <v>#N/A</v>
      </c>
      <c r="D32" s="37" t="e">
        <f t="shared" si="15"/>
        <v>#N/A</v>
      </c>
      <c r="E32" s="37" t="e">
        <f t="shared" si="15"/>
        <v>#N/A</v>
      </c>
      <c r="F32" s="37" t="e">
        <f t="shared" si="15"/>
        <v>#N/A</v>
      </c>
      <c r="G32" s="37" t="e">
        <f>+G30/G27</f>
        <v>#N/A</v>
      </c>
      <c r="H32" s="37" t="e">
        <f t="shared" si="15"/>
        <v>#N/A</v>
      </c>
      <c r="I32" s="37" t="e">
        <f t="shared" ref="I32:N32" si="16">+I30/I27</f>
        <v>#N/A</v>
      </c>
      <c r="J32" s="37" t="e">
        <f t="shared" si="16"/>
        <v>#N/A</v>
      </c>
      <c r="K32" s="37" t="e">
        <f t="shared" si="16"/>
        <v>#N/A</v>
      </c>
      <c r="L32" s="37" t="e">
        <f t="shared" si="16"/>
        <v>#N/A</v>
      </c>
      <c r="M32" s="37" t="e">
        <f t="shared" si="16"/>
        <v>#N/A</v>
      </c>
      <c r="N32" s="37" t="e">
        <f t="shared" si="16"/>
        <v>#N/A</v>
      </c>
      <c r="O32" s="6"/>
      <c r="P32" s="4" t="e">
        <f>+P30/P27</f>
        <v>#N/A</v>
      </c>
    </row>
    <row r="33" spans="1:18" s="24" customFormat="1" x14ac:dyDescent="0.25">
      <c r="A33" s="271" t="s">
        <v>258</v>
      </c>
      <c r="B33" s="262"/>
      <c r="C33" s="262"/>
      <c r="D33" s="262"/>
      <c r="E33" s="262"/>
      <c r="F33" s="65"/>
      <c r="G33" s="66"/>
      <c r="H33" s="66"/>
      <c r="I33" s="66"/>
      <c r="J33" s="66"/>
      <c r="K33" s="50"/>
      <c r="L33" s="50"/>
      <c r="M33" s="50"/>
      <c r="N33" s="50"/>
      <c r="O33" s="50"/>
      <c r="P33" s="50"/>
    </row>
    <row r="34" spans="1:18" x14ac:dyDescent="0.25">
      <c r="A34" s="3" t="s">
        <v>6</v>
      </c>
      <c r="B34" s="380" t="e">
        <f>VLOOKUP($A$33,TABLA_1[],5,FALSE)</f>
        <v>#N/A</v>
      </c>
      <c r="C34" s="380" t="e">
        <f>VLOOKUP($A$33,TABLA_2[],5,FALSE)</f>
        <v>#N/A</v>
      </c>
      <c r="D34" s="380" t="e">
        <f>VLOOKUP($A$33,TABLA_3[],5,FALSE)</f>
        <v>#N/A</v>
      </c>
      <c r="E34" s="380" t="e">
        <f>VLOOKUP($A$33,TABLA_4[],5,FALSE)</f>
        <v>#N/A</v>
      </c>
      <c r="F34" s="380" t="e">
        <f>VLOOKUP($A$33,TABLA_5[],5,FALSE)</f>
        <v>#N/A</v>
      </c>
      <c r="G34" s="380" t="e">
        <f>VLOOKUP($A$33,TABLA_6[],5,FALSE)</f>
        <v>#N/A</v>
      </c>
      <c r="H34" s="380" t="e">
        <f>VLOOKUP($A$33,TABLA_7[],5,FALSE)</f>
        <v>#N/A</v>
      </c>
      <c r="I34" s="380" t="e">
        <f>VLOOKUP($A$33,TABLA_8[],5,FALSE)</f>
        <v>#N/A</v>
      </c>
      <c r="J34" s="380" t="e">
        <f>VLOOKUP($A$33,TABLA_9[],5,FALSE)</f>
        <v>#N/A</v>
      </c>
      <c r="K34" s="380" t="e">
        <f>VLOOKUP($A$33,TABLA_10[],5,FALSE)</f>
        <v>#N/A</v>
      </c>
      <c r="L34" s="380" t="e">
        <f>VLOOKUP($A$33,TABLA_11[],5,FALSE)</f>
        <v>#N/A</v>
      </c>
      <c r="M34" s="380" t="e">
        <f>VLOOKUP($A$33,TABLA_12[],5,FALSE)</f>
        <v>#N/A</v>
      </c>
      <c r="N34" s="380" t="e">
        <f>VLOOKUP($A$33,TABLA_13[],5,FALSE)</f>
        <v>#N/A</v>
      </c>
      <c r="O34" s="6"/>
      <c r="P34" s="43" t="e">
        <f>MAX(B34:N34)</f>
        <v>#N/A</v>
      </c>
    </row>
    <row r="35" spans="1:18" x14ac:dyDescent="0.25">
      <c r="A35" s="3" t="s">
        <v>7</v>
      </c>
      <c r="B35" s="380" t="e">
        <f>VLOOKUP($A$33,TABLA_1[],8,FALSE)</f>
        <v>#N/A</v>
      </c>
      <c r="C35" s="380" t="e">
        <f>VLOOKUP($A$33,TABLA_2[],8,FALSE)</f>
        <v>#N/A</v>
      </c>
      <c r="D35" s="380" t="e">
        <f>VLOOKUP($A$33,TABLA_3[],8,FALSE)</f>
        <v>#N/A</v>
      </c>
      <c r="E35" s="380" t="e">
        <f>VLOOKUP($A$33,TABLA_4[],8,FALSE)</f>
        <v>#N/A</v>
      </c>
      <c r="F35" s="380" t="e">
        <f>VLOOKUP($A$33,TABLA_5[],8,FALSE)</f>
        <v>#N/A</v>
      </c>
      <c r="G35" s="380" t="e">
        <f>VLOOKUP($A$33,TABLA_6[],8,FALSE)</f>
        <v>#N/A</v>
      </c>
      <c r="H35" s="380" t="e">
        <f>VLOOKUP($A$33,TABLA_7[],8,FALSE)</f>
        <v>#N/A</v>
      </c>
      <c r="I35" s="380" t="e">
        <f>VLOOKUP($A$33,TABLA_8[],8,FALSE)</f>
        <v>#N/A</v>
      </c>
      <c r="J35" s="380" t="e">
        <f>VLOOKUP($A$33,TABLA_9[],8,FALSE)</f>
        <v>#N/A</v>
      </c>
      <c r="K35" s="380" t="e">
        <f>VLOOKUP($A$33,TABLA_10[],8,FALSE)</f>
        <v>#N/A</v>
      </c>
      <c r="L35" s="380" t="e">
        <f>VLOOKUP($A$33,TABLA_11[],8,FALSE)</f>
        <v>#N/A</v>
      </c>
      <c r="M35" s="380" t="e">
        <f>VLOOKUP($A$33,TABLA_12[],8,FALSE)</f>
        <v>#N/A</v>
      </c>
      <c r="N35" s="380" t="e">
        <f>VLOOKUP($A$33,TABLA_13[],8,FALSE)</f>
        <v>#N/A</v>
      </c>
      <c r="O35" s="47" t="e">
        <f>SUM(B35:N35)</f>
        <v>#N/A</v>
      </c>
      <c r="P35" s="43" t="e">
        <f>SUM(B35:N35)/(COUNTIF(B35:N35,"&gt;0"))</f>
        <v>#N/A</v>
      </c>
    </row>
    <row r="36" spans="1:18" x14ac:dyDescent="0.25">
      <c r="A36" s="3" t="s">
        <v>16</v>
      </c>
      <c r="B36" s="37" t="e">
        <f t="shared" ref="B36:H36" si="17">+((B34/B38)^2-(B34^2))^(0.5)</f>
        <v>#N/A</v>
      </c>
      <c r="C36" s="37" t="e">
        <f>+((C34/C38)^2-(C34^2))^(0.5)</f>
        <v>#N/A</v>
      </c>
      <c r="D36" s="37" t="e">
        <f t="shared" si="17"/>
        <v>#N/A</v>
      </c>
      <c r="E36" s="37" t="e">
        <f t="shared" si="17"/>
        <v>#N/A</v>
      </c>
      <c r="F36" s="37" t="e">
        <f t="shared" si="17"/>
        <v>#N/A</v>
      </c>
      <c r="G36" s="37" t="e">
        <f t="shared" si="17"/>
        <v>#N/A</v>
      </c>
      <c r="H36" s="37" t="e">
        <f t="shared" si="17"/>
        <v>#N/A</v>
      </c>
      <c r="I36" s="37" t="e">
        <f t="shared" ref="I36:N36" si="18">+((I34/I38)^2-(I34^2))^(0.5)</f>
        <v>#N/A</v>
      </c>
      <c r="J36" s="37" t="e">
        <f t="shared" si="18"/>
        <v>#N/A</v>
      </c>
      <c r="K36" s="37" t="e">
        <f t="shared" si="18"/>
        <v>#N/A</v>
      </c>
      <c r="L36" s="37" t="e">
        <f t="shared" si="18"/>
        <v>#N/A</v>
      </c>
      <c r="M36" s="37" t="e">
        <f t="shared" si="18"/>
        <v>#N/A</v>
      </c>
      <c r="N36" s="37" t="e">
        <f t="shared" si="18"/>
        <v>#N/A</v>
      </c>
      <c r="O36" s="37"/>
      <c r="P36" s="4" t="e">
        <f>HLOOKUP(P34,B34:N36,3,FALSE)</f>
        <v>#N/A</v>
      </c>
    </row>
    <row r="37" spans="1:18" x14ac:dyDescent="0.25">
      <c r="A37" s="3" t="s">
        <v>8</v>
      </c>
      <c r="B37" s="37" t="e">
        <f t="shared" ref="B37:H37" si="19">+B35/(24*B$8)</f>
        <v>#N/A</v>
      </c>
      <c r="C37" s="37" t="e">
        <f>+C35/(24*C$8)</f>
        <v>#N/A</v>
      </c>
      <c r="D37" s="37" t="e">
        <f t="shared" si="19"/>
        <v>#N/A</v>
      </c>
      <c r="E37" s="37" t="e">
        <f t="shared" si="19"/>
        <v>#N/A</v>
      </c>
      <c r="F37" s="37" t="e">
        <f t="shared" si="19"/>
        <v>#N/A</v>
      </c>
      <c r="G37" s="37" t="e">
        <f t="shared" si="19"/>
        <v>#N/A</v>
      </c>
      <c r="H37" s="37" t="e">
        <f t="shared" si="19"/>
        <v>#N/A</v>
      </c>
      <c r="I37" s="37" t="e">
        <f t="shared" ref="I37:N37" si="20">+I35/(24*I$8)</f>
        <v>#N/A</v>
      </c>
      <c r="J37" s="37" t="e">
        <f t="shared" si="20"/>
        <v>#N/A</v>
      </c>
      <c r="K37" s="37" t="e">
        <f t="shared" si="20"/>
        <v>#N/A</v>
      </c>
      <c r="L37" s="37" t="e">
        <f t="shared" si="20"/>
        <v>#N/A</v>
      </c>
      <c r="M37" s="37" t="e">
        <f t="shared" si="20"/>
        <v>#N/A</v>
      </c>
      <c r="N37" s="37" t="e">
        <f t="shared" si="20"/>
        <v>#N/A</v>
      </c>
      <c r="O37" s="6" t="e">
        <f>SUM(O35)/(24*O$8)</f>
        <v>#N/A</v>
      </c>
      <c r="P37" s="4" t="e">
        <f>O35/(COUNTIF(B35:N35,"&gt;0")*720)</f>
        <v>#N/A</v>
      </c>
    </row>
    <row r="38" spans="1:18" x14ac:dyDescent="0.25">
      <c r="A38" s="3" t="s">
        <v>9</v>
      </c>
      <c r="B38" s="380" t="e">
        <f>VLOOKUP($A$33,TABLA_1[],10,FALSE)</f>
        <v>#N/A</v>
      </c>
      <c r="C38" s="380" t="e">
        <f>VLOOKUP($A$33,TABLA_2[],10,FALSE)</f>
        <v>#N/A</v>
      </c>
      <c r="D38" s="380" t="e">
        <f>VLOOKUP($A$33,TABLA_3[],10,FALSE)</f>
        <v>#N/A</v>
      </c>
      <c r="E38" s="380" t="e">
        <f>VLOOKUP($A$33,TABLA_4[],10,FALSE)</f>
        <v>#N/A</v>
      </c>
      <c r="F38" s="380" t="e">
        <f>VLOOKUP($A$33,TABLA_5[],10,FALSE)</f>
        <v>#N/A</v>
      </c>
      <c r="G38" s="380" t="e">
        <f>VLOOKUP($A$33,TABLA_6[],10,FALSE)</f>
        <v>#N/A</v>
      </c>
      <c r="H38" s="380" t="e">
        <f>VLOOKUP($A$33,TABLA_7[],10,FALSE)</f>
        <v>#N/A</v>
      </c>
      <c r="I38" s="380" t="e">
        <f>VLOOKUP($A$33,TABLA_8[],10,FALSE)</f>
        <v>#N/A</v>
      </c>
      <c r="J38" s="380" t="e">
        <f>VLOOKUP($A$33,TABLA_9[],10,FALSE)</f>
        <v>#N/A</v>
      </c>
      <c r="K38" s="380" t="e">
        <f>VLOOKUP($A$33,TABLA_10[],10,FALSE)</f>
        <v>#N/A</v>
      </c>
      <c r="L38" s="380" t="e">
        <f>VLOOKUP($A$33,TABLA_11[],10,FALSE)</f>
        <v>#N/A</v>
      </c>
      <c r="M38" s="380" t="e">
        <f>VLOOKUP($A$33,TABLA_12[],10,FALSE)</f>
        <v>#N/A</v>
      </c>
      <c r="N38" s="380" t="e">
        <f>VLOOKUP($A$33,TABLA_13[],10,FALSE)</f>
        <v>#N/A</v>
      </c>
      <c r="O38" s="6"/>
      <c r="P38" s="4" t="e">
        <f>COS(ATAN(P36/P34))</f>
        <v>#N/A</v>
      </c>
    </row>
    <row r="39" spans="1:18" x14ac:dyDescent="0.25">
      <c r="A39" s="3" t="s">
        <v>17</v>
      </c>
      <c r="B39" s="37" t="e">
        <f t="shared" ref="B39:H39" si="21">+B37/B34</f>
        <v>#N/A</v>
      </c>
      <c r="C39" s="37" t="e">
        <f>+C37/C34</f>
        <v>#N/A</v>
      </c>
      <c r="D39" s="37" t="e">
        <f t="shared" si="21"/>
        <v>#N/A</v>
      </c>
      <c r="E39" s="37" t="e">
        <f t="shared" si="21"/>
        <v>#N/A</v>
      </c>
      <c r="F39" s="37" t="e">
        <f t="shared" si="21"/>
        <v>#N/A</v>
      </c>
      <c r="G39" s="37" t="e">
        <f t="shared" si="21"/>
        <v>#N/A</v>
      </c>
      <c r="H39" s="37" t="e">
        <f t="shared" si="21"/>
        <v>#N/A</v>
      </c>
      <c r="I39" s="37" t="e">
        <f t="shared" ref="I39:N39" si="22">+I37/I34</f>
        <v>#N/A</v>
      </c>
      <c r="J39" s="37" t="e">
        <f t="shared" si="22"/>
        <v>#N/A</v>
      </c>
      <c r="K39" s="37" t="e">
        <f t="shared" si="22"/>
        <v>#N/A</v>
      </c>
      <c r="L39" s="37" t="e">
        <f t="shared" si="22"/>
        <v>#N/A</v>
      </c>
      <c r="M39" s="37" t="e">
        <f t="shared" si="22"/>
        <v>#N/A</v>
      </c>
      <c r="N39" s="37" t="e">
        <f t="shared" si="22"/>
        <v>#N/A</v>
      </c>
      <c r="O39" s="6"/>
      <c r="P39" s="4" t="e">
        <f>+P37/P34</f>
        <v>#N/A</v>
      </c>
    </row>
    <row r="40" spans="1:18" x14ac:dyDescent="0.25">
      <c r="A40" s="90"/>
      <c r="B40" s="77"/>
      <c r="C40" s="77"/>
      <c r="D40" s="77"/>
      <c r="E40" s="77"/>
      <c r="F40" s="77"/>
      <c r="G40" s="77"/>
      <c r="H40" s="77"/>
      <c r="I40" s="77"/>
      <c r="J40" s="77"/>
      <c r="K40" s="77"/>
      <c r="L40" s="77"/>
      <c r="M40" s="77"/>
      <c r="N40" s="77"/>
      <c r="O40" s="77"/>
      <c r="P40" s="77"/>
    </row>
    <row r="41" spans="1:18" x14ac:dyDescent="0.25">
      <c r="A41" s="90"/>
      <c r="B41" s="77"/>
      <c r="C41" s="77"/>
      <c r="D41" s="77"/>
      <c r="E41" s="77"/>
      <c r="F41" s="77"/>
      <c r="G41" s="77"/>
      <c r="H41" s="77"/>
      <c r="I41" s="77"/>
      <c r="J41" s="77"/>
      <c r="K41" s="77"/>
      <c r="L41" s="77"/>
      <c r="M41" s="77"/>
      <c r="N41" s="77"/>
      <c r="O41" s="77"/>
      <c r="P41" s="77"/>
    </row>
    <row r="42" spans="1:18" x14ac:dyDescent="0.25">
      <c r="A42" s="7" t="s">
        <v>10</v>
      </c>
      <c r="B42" s="72"/>
      <c r="C42" s="72"/>
      <c r="D42" s="72"/>
      <c r="E42" s="72"/>
      <c r="F42" s="72"/>
      <c r="G42" s="73"/>
      <c r="H42" s="73"/>
      <c r="I42" s="73"/>
      <c r="J42" s="73"/>
      <c r="K42" s="73"/>
      <c r="L42" s="53"/>
      <c r="M42" s="53"/>
      <c r="N42" s="53"/>
      <c r="O42" s="53"/>
      <c r="P42" s="8"/>
    </row>
    <row r="43" spans="1:18" x14ac:dyDescent="0.25">
      <c r="A43" s="9" t="s">
        <v>11</v>
      </c>
      <c r="B43" s="62" t="e">
        <f t="shared" ref="B43:H44" si="23">+B13+B20+B27+B34</f>
        <v>#N/A</v>
      </c>
      <c r="C43" s="62" t="e">
        <f>+C13+C20+C27+C34</f>
        <v>#N/A</v>
      </c>
      <c r="D43" s="62" t="e">
        <f t="shared" si="23"/>
        <v>#N/A</v>
      </c>
      <c r="E43" s="62" t="e">
        <f t="shared" si="23"/>
        <v>#N/A</v>
      </c>
      <c r="F43" s="62" t="e">
        <f t="shared" si="23"/>
        <v>#N/A</v>
      </c>
      <c r="G43" s="62" t="e">
        <f t="shared" si="23"/>
        <v>#N/A</v>
      </c>
      <c r="H43" s="62" t="e">
        <f t="shared" si="23"/>
        <v>#N/A</v>
      </c>
      <c r="I43" s="62" t="e">
        <f t="shared" ref="I43:N44" si="24">+I13+I20+I27+I34</f>
        <v>#N/A</v>
      </c>
      <c r="J43" s="62" t="e">
        <f t="shared" si="24"/>
        <v>#N/A</v>
      </c>
      <c r="K43" s="62" t="e">
        <f t="shared" si="24"/>
        <v>#N/A</v>
      </c>
      <c r="L43" s="62" t="e">
        <f t="shared" si="24"/>
        <v>#N/A</v>
      </c>
      <c r="M43" s="62" t="e">
        <f t="shared" si="24"/>
        <v>#N/A</v>
      </c>
      <c r="N43" s="62" t="e">
        <f t="shared" si="24"/>
        <v>#N/A</v>
      </c>
      <c r="O43" s="62"/>
      <c r="P43" s="42" t="e">
        <f>MAX(B43:N43)</f>
        <v>#N/A</v>
      </c>
    </row>
    <row r="44" spans="1:18" x14ac:dyDescent="0.25">
      <c r="A44" s="9" t="s">
        <v>7</v>
      </c>
      <c r="B44" s="62" t="e">
        <f t="shared" si="23"/>
        <v>#N/A</v>
      </c>
      <c r="C44" s="62" t="e">
        <f>+C14+C21+C28+C35</f>
        <v>#N/A</v>
      </c>
      <c r="D44" s="62" t="e">
        <f t="shared" si="23"/>
        <v>#N/A</v>
      </c>
      <c r="E44" s="62" t="e">
        <f t="shared" si="23"/>
        <v>#N/A</v>
      </c>
      <c r="F44" s="62" t="e">
        <f t="shared" si="23"/>
        <v>#N/A</v>
      </c>
      <c r="G44" s="62" t="e">
        <f t="shared" si="23"/>
        <v>#N/A</v>
      </c>
      <c r="H44" s="62" t="e">
        <f t="shared" si="23"/>
        <v>#N/A</v>
      </c>
      <c r="I44" s="62" t="e">
        <f t="shared" si="24"/>
        <v>#N/A</v>
      </c>
      <c r="J44" s="62" t="e">
        <f t="shared" si="24"/>
        <v>#N/A</v>
      </c>
      <c r="K44" s="62" t="e">
        <f t="shared" si="24"/>
        <v>#N/A</v>
      </c>
      <c r="L44" s="62" t="e">
        <f t="shared" si="24"/>
        <v>#N/A</v>
      </c>
      <c r="M44" s="62" t="e">
        <f t="shared" si="24"/>
        <v>#N/A</v>
      </c>
      <c r="N44" s="62" t="e">
        <f t="shared" si="24"/>
        <v>#N/A</v>
      </c>
      <c r="O44" s="62" t="e">
        <f>SUM(B44:N44)</f>
        <v>#N/A</v>
      </c>
      <c r="P44" s="42"/>
    </row>
    <row r="45" spans="1:18" s="24" customFormat="1" x14ac:dyDescent="0.25">
      <c r="A45" s="272" t="s">
        <v>12</v>
      </c>
      <c r="B45" s="376" t="s">
        <v>492</v>
      </c>
      <c r="C45" s="246"/>
      <c r="D45" s="246"/>
      <c r="E45" s="246"/>
      <c r="F45" s="246"/>
      <c r="G45" s="247"/>
      <c r="H45" s="247"/>
      <c r="I45" s="247"/>
      <c r="J45" s="247"/>
      <c r="K45" s="36"/>
      <c r="L45" s="36"/>
      <c r="M45" s="36"/>
      <c r="N45" s="36"/>
      <c r="O45" s="36"/>
      <c r="P45" s="36"/>
    </row>
    <row r="46" spans="1:18" x14ac:dyDescent="0.25">
      <c r="A46" s="3" t="s">
        <v>6</v>
      </c>
      <c r="B46" s="380">
        <f>VLOOKUP($B$45,BancoTabla_1[],5,FALSE)</f>
        <v>0</v>
      </c>
      <c r="C46" s="380">
        <f>VLOOKUP($B$45,BancoTabla_2[],5,FALSE)</f>
        <v>0</v>
      </c>
      <c r="D46" s="380">
        <f>VLOOKUP($B$45,BancoTabla_3[],5,FALSE)</f>
        <v>0</v>
      </c>
      <c r="E46" s="380">
        <f>VLOOKUP($B$45,BancoTabla_4[],5,FALSE)</f>
        <v>0</v>
      </c>
      <c r="F46" s="380">
        <f>VLOOKUP($B$45,BancoTabla_5[],5,FALSE)</f>
        <v>0</v>
      </c>
      <c r="G46" s="380">
        <f>VLOOKUP($B$45,BancoTabla_6[],5,FALSE)</f>
        <v>5483.3316240000004</v>
      </c>
      <c r="H46" s="380">
        <f>VLOOKUP($B$45,BancoTabla_7[],5,FALSE)</f>
        <v>0</v>
      </c>
      <c r="I46" s="380">
        <f>VLOOKUP($B$45,BancoTabla_8[],5,FALSE)</f>
        <v>0</v>
      </c>
      <c r="J46" s="380">
        <f>VLOOKUP($B$45,BancoTabla_9[],5,FALSE)</f>
        <v>0</v>
      </c>
      <c r="K46" s="380">
        <f>VLOOKUP($B$45,BancoTabla_10[],5,FALSE)</f>
        <v>0</v>
      </c>
      <c r="L46" s="380">
        <f>VLOOKUP($B$45,BancoTabla_11[],5,FALSE)</f>
        <v>0</v>
      </c>
      <c r="M46" s="380">
        <f>VLOOKUP($B$45,BancoTabla_12[],5,FALSE)</f>
        <v>0</v>
      </c>
      <c r="N46" s="380">
        <f>VLOOKUP($B$45,BancoTabla_13[],5,FALSE)</f>
        <v>0</v>
      </c>
      <c r="O46" s="79"/>
      <c r="P46" s="43">
        <f>MAX(B46:N46)</f>
        <v>5483.3316240000004</v>
      </c>
      <c r="Q46" s="334">
        <f>P46/1000</f>
        <v>5.4833316240000007</v>
      </c>
    </row>
    <row r="47" spans="1:18" x14ac:dyDescent="0.25">
      <c r="A47" s="3" t="s">
        <v>7</v>
      </c>
      <c r="B47" s="380">
        <f>VLOOKUP($B$45,BancoTabla_1[],8,FALSE)</f>
        <v>0</v>
      </c>
      <c r="C47" s="380">
        <f>VLOOKUP($B$45,BancoTabla_2[],8,FALSE)</f>
        <v>0</v>
      </c>
      <c r="D47" s="380">
        <f>VLOOKUP($B$45,BancoTabla_3[],8,FALSE)</f>
        <v>0</v>
      </c>
      <c r="E47" s="380">
        <f>VLOOKUP($B$45,BancoTabla_4[],8,FALSE)</f>
        <v>0</v>
      </c>
      <c r="F47" s="380">
        <f>VLOOKUP($B$45,BancoTabla_5[],8,FALSE)</f>
        <v>0</v>
      </c>
      <c r="G47" s="380">
        <f>VLOOKUP($B$45,BancoTabla_6[],8,FALSE)</f>
        <v>3004422.8738000002</v>
      </c>
      <c r="H47" s="380">
        <f>VLOOKUP($B$45,BancoTabla_7[],8,FALSE)</f>
        <v>0</v>
      </c>
      <c r="I47" s="380">
        <f>VLOOKUP($B$45,BancoTabla_8[],8,FALSE)</f>
        <v>0</v>
      </c>
      <c r="J47" s="380">
        <f>VLOOKUP($B$45,BancoTabla_9[],8,FALSE)</f>
        <v>0</v>
      </c>
      <c r="K47" s="380">
        <f>VLOOKUP($B$45,BancoTabla_10[],8,FALSE)</f>
        <v>0</v>
      </c>
      <c r="L47" s="380">
        <f>VLOOKUP($B$45,BancoTabla_11[],8,FALSE)</f>
        <v>0</v>
      </c>
      <c r="M47" s="380">
        <f>VLOOKUP($B$45,BancoTabla_12[],8,FALSE)</f>
        <v>0</v>
      </c>
      <c r="N47" s="380">
        <f>VLOOKUP($B$45,BancoTabla_13[],8,FALSE)</f>
        <v>0</v>
      </c>
      <c r="O47" s="47">
        <f>SUM(B47:N47)</f>
        <v>3004422.8738000002</v>
      </c>
      <c r="P47" s="4">
        <f>SUM(B47:N47)/(COUNTIF(B47:N47,"&gt;0"))</f>
        <v>3004422.8738000002</v>
      </c>
      <c r="R47" s="39"/>
    </row>
    <row r="48" spans="1:18" x14ac:dyDescent="0.25">
      <c r="A48" s="3" t="s">
        <v>16</v>
      </c>
      <c r="B48" s="37" t="e">
        <f t="shared" ref="B48:H48" si="25">+((B46/B50)^2-(B46^2))^(0.5)</f>
        <v>#DIV/0!</v>
      </c>
      <c r="C48" s="37" t="e">
        <f>+((C46/C50)^2-(C46^2))^(0.5)</f>
        <v>#DIV/0!</v>
      </c>
      <c r="D48" s="37" t="e">
        <f t="shared" si="25"/>
        <v>#DIV/0!</v>
      </c>
      <c r="E48" s="37" t="e">
        <f t="shared" si="25"/>
        <v>#DIV/0!</v>
      </c>
      <c r="F48" s="37" t="e">
        <f t="shared" si="25"/>
        <v>#DIV/0!</v>
      </c>
      <c r="G48" s="37">
        <f t="shared" si="25"/>
        <v>2357.7369977956068</v>
      </c>
      <c r="H48" s="37" t="e">
        <f t="shared" si="25"/>
        <v>#DIV/0!</v>
      </c>
      <c r="I48" s="37" t="e">
        <f t="shared" ref="I48:N48" si="26">+((I46/I50)^2-(I46^2))^(0.5)</f>
        <v>#DIV/0!</v>
      </c>
      <c r="J48" s="37" t="e">
        <f t="shared" si="26"/>
        <v>#DIV/0!</v>
      </c>
      <c r="K48" s="37" t="e">
        <f t="shared" si="26"/>
        <v>#DIV/0!</v>
      </c>
      <c r="L48" s="37" t="e">
        <f t="shared" si="26"/>
        <v>#DIV/0!</v>
      </c>
      <c r="M48" s="37" t="e">
        <f t="shared" si="26"/>
        <v>#DIV/0!</v>
      </c>
      <c r="N48" s="37" t="e">
        <f t="shared" si="26"/>
        <v>#DIV/0!</v>
      </c>
      <c r="O48" s="37"/>
      <c r="P48" s="4">
        <f>HLOOKUP(P46,B46:N48,3,FALSE)</f>
        <v>2357.7369977956068</v>
      </c>
    </row>
    <row r="49" spans="1:16" x14ac:dyDescent="0.25">
      <c r="A49" s="3" t="s">
        <v>8</v>
      </c>
      <c r="B49" s="37">
        <f t="shared" ref="B49:H49" si="27">+B47/(24*B$8)</f>
        <v>0</v>
      </c>
      <c r="C49" s="37">
        <f>+C47/(24*C$8)</f>
        <v>0</v>
      </c>
      <c r="D49" s="37">
        <f>+D47/(24*D$8)</f>
        <v>0</v>
      </c>
      <c r="E49" s="37">
        <f>+E47/(24*E$8)</f>
        <v>0</v>
      </c>
      <c r="F49" s="37">
        <f t="shared" si="27"/>
        <v>0</v>
      </c>
      <c r="G49" s="37">
        <f t="shared" si="27"/>
        <v>4038.2027873655916</v>
      </c>
      <c r="H49" s="37">
        <f t="shared" si="27"/>
        <v>0</v>
      </c>
      <c r="I49" s="37">
        <f t="shared" ref="I49:N49" si="28">+I47/(24*I$8)</f>
        <v>0</v>
      </c>
      <c r="J49" s="37">
        <f t="shared" si="28"/>
        <v>0</v>
      </c>
      <c r="K49" s="37">
        <f t="shared" si="28"/>
        <v>0</v>
      </c>
      <c r="L49" s="37">
        <f t="shared" si="28"/>
        <v>0</v>
      </c>
      <c r="M49" s="37">
        <f t="shared" si="28"/>
        <v>0</v>
      </c>
      <c r="N49" s="37">
        <f t="shared" si="28"/>
        <v>0</v>
      </c>
      <c r="O49" s="6">
        <f>SUM(O47)/(24*O$8)</f>
        <v>342.97064769406393</v>
      </c>
      <c r="P49" s="4">
        <f>O47/(COUNTIF(B47:N47,"&gt;0")*720)</f>
        <v>4172.8095469444443</v>
      </c>
    </row>
    <row r="50" spans="1:16" x14ac:dyDescent="0.25">
      <c r="A50" s="3" t="s">
        <v>9</v>
      </c>
      <c r="B50" s="380">
        <f>VLOOKUP($B$45,BancoTabla_1[],10,FALSE)</f>
        <v>0</v>
      </c>
      <c r="C50" s="380">
        <f>VLOOKUP($B$45,BancoTabla_2[],10,FALSE)</f>
        <v>0</v>
      </c>
      <c r="D50" s="380">
        <f>VLOOKUP($B$45,BancoTabla_3[],10,FALSE)</f>
        <v>0</v>
      </c>
      <c r="E50" s="380">
        <f>VLOOKUP($B$45,BancoTabla_4[],10,FALSE)</f>
        <v>0</v>
      </c>
      <c r="F50" s="380">
        <f>VLOOKUP($B$45,BancoTabla_5[],10,FALSE)</f>
        <v>0</v>
      </c>
      <c r="G50" s="380">
        <f>VLOOKUP($B$45,BancoTabla_6[],10,FALSE)</f>
        <v>0.91867500000000002</v>
      </c>
      <c r="H50" s="380">
        <f>VLOOKUP($B$45,BancoTabla_7[],10,FALSE)</f>
        <v>0</v>
      </c>
      <c r="I50" s="380">
        <f>VLOOKUP($B$45,BancoTabla_8[],10,FALSE)</f>
        <v>0</v>
      </c>
      <c r="J50" s="380">
        <f>VLOOKUP($B$45,BancoTabla_9[],10,FALSE)</f>
        <v>0</v>
      </c>
      <c r="K50" s="380">
        <f>VLOOKUP($B$45,BancoTabla_10[],10,FALSE)</f>
        <v>0</v>
      </c>
      <c r="L50" s="380">
        <f>VLOOKUP($B$45,BancoTabla_11[],10,FALSE)</f>
        <v>0</v>
      </c>
      <c r="M50" s="380">
        <f>VLOOKUP($B$45,BancoTabla_12[],10,FALSE)</f>
        <v>0</v>
      </c>
      <c r="N50" s="380">
        <f>VLOOKUP($B$45,BancoTabla_13[],10,FALSE)</f>
        <v>0</v>
      </c>
      <c r="O50" s="6"/>
      <c r="P50" s="4">
        <f>COS(ATAN(P48/P46))</f>
        <v>0.91867500000000013</v>
      </c>
    </row>
    <row r="51" spans="1:16" x14ac:dyDescent="0.25">
      <c r="A51" s="3" t="s">
        <v>17</v>
      </c>
      <c r="B51" s="37" t="e">
        <f t="shared" ref="B51:H51" si="29">+B49/B46</f>
        <v>#DIV/0!</v>
      </c>
      <c r="C51" s="37" t="e">
        <f>+C49/C46</f>
        <v>#DIV/0!</v>
      </c>
      <c r="D51" s="37" t="e">
        <f>+D49/D46</f>
        <v>#DIV/0!</v>
      </c>
      <c r="E51" s="37" t="e">
        <f>+E49/E46</f>
        <v>#DIV/0!</v>
      </c>
      <c r="F51" s="37" t="e">
        <f t="shared" si="29"/>
        <v>#DIV/0!</v>
      </c>
      <c r="G51" s="37">
        <f t="shared" si="29"/>
        <v>0.73645058593406554</v>
      </c>
      <c r="H51" s="37" t="e">
        <f t="shared" si="29"/>
        <v>#DIV/0!</v>
      </c>
      <c r="I51" s="37" t="e">
        <f t="shared" ref="I51:N51" si="30">+I49/I46</f>
        <v>#DIV/0!</v>
      </c>
      <c r="J51" s="37" t="e">
        <f t="shared" si="30"/>
        <v>#DIV/0!</v>
      </c>
      <c r="K51" s="37" t="e">
        <f t="shared" si="30"/>
        <v>#DIV/0!</v>
      </c>
      <c r="L51" s="37" t="e">
        <f t="shared" si="30"/>
        <v>#DIV/0!</v>
      </c>
      <c r="M51" s="37" t="e">
        <f t="shared" si="30"/>
        <v>#DIV/0!</v>
      </c>
      <c r="N51" s="37" t="e">
        <f t="shared" si="30"/>
        <v>#DIV/0!</v>
      </c>
      <c r="O51" s="6"/>
      <c r="P51" s="4">
        <f>+P49/P46</f>
        <v>0.76099893879853431</v>
      </c>
    </row>
    <row r="52" spans="1:16" x14ac:dyDescent="0.25">
      <c r="A52" s="3" t="s">
        <v>18</v>
      </c>
      <c r="B52" s="37" t="e">
        <f t="shared" ref="B52:H52" si="31">+B43/B46</f>
        <v>#N/A</v>
      </c>
      <c r="C52" s="37" t="e">
        <f>+C43/C46</f>
        <v>#N/A</v>
      </c>
      <c r="D52" s="37" t="e">
        <f t="shared" si="31"/>
        <v>#N/A</v>
      </c>
      <c r="E52" s="37" t="e">
        <f t="shared" si="31"/>
        <v>#N/A</v>
      </c>
      <c r="F52" s="287" t="e">
        <f t="shared" si="31"/>
        <v>#N/A</v>
      </c>
      <c r="G52" s="37" t="e">
        <f t="shared" si="31"/>
        <v>#N/A</v>
      </c>
      <c r="H52" s="37" t="e">
        <f t="shared" si="31"/>
        <v>#N/A</v>
      </c>
      <c r="I52" s="37" t="e">
        <f t="shared" ref="I52:N52" si="32">+I43/I46</f>
        <v>#N/A</v>
      </c>
      <c r="J52" s="37" t="e">
        <f t="shared" si="32"/>
        <v>#N/A</v>
      </c>
      <c r="K52" s="37" t="e">
        <f t="shared" si="32"/>
        <v>#N/A</v>
      </c>
      <c r="L52" s="37" t="e">
        <f t="shared" si="32"/>
        <v>#N/A</v>
      </c>
      <c r="M52" s="37" t="e">
        <f t="shared" si="32"/>
        <v>#N/A</v>
      </c>
      <c r="N52" s="37" t="e">
        <f t="shared" si="32"/>
        <v>#N/A</v>
      </c>
      <c r="O52" s="6"/>
      <c r="P52" s="4" t="e">
        <f>+P43/P46</f>
        <v>#N/A</v>
      </c>
    </row>
    <row r="53" spans="1:16" x14ac:dyDescent="0.25">
      <c r="A53" s="3" t="s">
        <v>19</v>
      </c>
      <c r="B53" s="37">
        <f t="shared" ref="B53:H53" si="33">+B46/$B$54</f>
        <v>0</v>
      </c>
      <c r="C53" s="37">
        <f>+C46/$B$54</f>
        <v>0</v>
      </c>
      <c r="D53" s="37">
        <f t="shared" si="33"/>
        <v>0</v>
      </c>
      <c r="E53" s="37">
        <f t="shared" si="33"/>
        <v>0</v>
      </c>
      <c r="F53" s="37">
        <f t="shared" si="33"/>
        <v>0</v>
      </c>
      <c r="G53" s="37">
        <f t="shared" si="33"/>
        <v>0.29843696758919092</v>
      </c>
      <c r="H53" s="37">
        <f t="shared" si="33"/>
        <v>0</v>
      </c>
      <c r="I53" s="37">
        <f t="shared" ref="I53:N53" si="34">+I46/$B$54</f>
        <v>0</v>
      </c>
      <c r="J53" s="37">
        <f t="shared" si="34"/>
        <v>0</v>
      </c>
      <c r="K53" s="37">
        <f t="shared" si="34"/>
        <v>0</v>
      </c>
      <c r="L53" s="37">
        <f t="shared" si="34"/>
        <v>0</v>
      </c>
      <c r="M53" s="37">
        <f t="shared" si="34"/>
        <v>0</v>
      </c>
      <c r="N53" s="37">
        <f t="shared" si="34"/>
        <v>0</v>
      </c>
      <c r="O53" s="6"/>
      <c r="P53" s="4">
        <f>+P46/$B$54</f>
        <v>0.29843696758919092</v>
      </c>
    </row>
    <row r="54" spans="1:16" x14ac:dyDescent="0.25">
      <c r="A54" s="3" t="s">
        <v>20</v>
      </c>
      <c r="B54" s="4">
        <f>20*P50*1000</f>
        <v>18373.500000000004</v>
      </c>
      <c r="C54" s="4"/>
      <c r="D54" s="4"/>
      <c r="E54" s="4"/>
      <c r="F54" s="4"/>
      <c r="G54" s="3"/>
      <c r="H54" s="3"/>
      <c r="I54" s="3"/>
      <c r="J54" s="3"/>
      <c r="K54" s="4"/>
      <c r="L54" s="4"/>
      <c r="M54" s="4"/>
      <c r="N54" s="4"/>
      <c r="O54" s="37"/>
      <c r="P54" s="4"/>
    </row>
    <row r="55" spans="1:16" x14ac:dyDescent="0.25">
      <c r="B55" s="237">
        <f>B46/$B$54</f>
        <v>0</v>
      </c>
      <c r="C55" s="237">
        <f>C46/$B$54</f>
        <v>0</v>
      </c>
      <c r="D55" s="237">
        <f t="shared" ref="D55:N55" si="35">D46/$B$54</f>
        <v>0</v>
      </c>
      <c r="E55" s="237">
        <f t="shared" si="35"/>
        <v>0</v>
      </c>
      <c r="F55" s="237">
        <f t="shared" si="35"/>
        <v>0</v>
      </c>
      <c r="G55" s="237">
        <f t="shared" si="35"/>
        <v>0.29843696758919092</v>
      </c>
      <c r="H55" s="237">
        <f t="shared" si="35"/>
        <v>0</v>
      </c>
      <c r="I55" s="237">
        <f t="shared" si="35"/>
        <v>0</v>
      </c>
      <c r="J55" s="237">
        <f t="shared" si="35"/>
        <v>0</v>
      </c>
      <c r="K55" s="237">
        <f t="shared" si="35"/>
        <v>0</v>
      </c>
      <c r="L55" s="237">
        <f t="shared" si="35"/>
        <v>0</v>
      </c>
      <c r="M55" s="237">
        <f t="shared" si="35"/>
        <v>0</v>
      </c>
      <c r="N55" s="237">
        <f t="shared" si="35"/>
        <v>0</v>
      </c>
      <c r="O55" s="24"/>
    </row>
    <row r="56" spans="1:16" x14ac:dyDescent="0.25">
      <c r="B56" s="26"/>
      <c r="C56" s="26"/>
      <c r="D56" s="26"/>
      <c r="E56" s="26"/>
      <c r="F56" s="26"/>
      <c r="O56" s="24"/>
    </row>
    <row r="57" spans="1:16" x14ac:dyDescent="0.25">
      <c r="A57" s="15" t="s">
        <v>14</v>
      </c>
      <c r="B57" s="29"/>
      <c r="C57" s="29"/>
      <c r="D57" s="29"/>
      <c r="E57" s="29"/>
      <c r="F57" s="29"/>
      <c r="G57" s="15"/>
      <c r="H57" s="15"/>
      <c r="I57" s="15"/>
      <c r="J57" s="15"/>
      <c r="K57" s="16"/>
      <c r="L57" s="16"/>
      <c r="M57" s="16"/>
      <c r="N57" s="16"/>
      <c r="O57" s="57"/>
      <c r="P57" s="16"/>
    </row>
    <row r="58" spans="1:16" x14ac:dyDescent="0.25">
      <c r="A58" s="16" t="s">
        <v>11</v>
      </c>
      <c r="B58" s="45">
        <f>+B46</f>
        <v>0</v>
      </c>
      <c r="C58" s="45">
        <f>+C46</f>
        <v>0</v>
      </c>
      <c r="D58" s="45">
        <f t="shared" ref="D58:N59" si="36">+D46</f>
        <v>0</v>
      </c>
      <c r="E58" s="45">
        <f t="shared" si="36"/>
        <v>0</v>
      </c>
      <c r="F58" s="45">
        <f t="shared" si="36"/>
        <v>0</v>
      </c>
      <c r="G58" s="45">
        <f t="shared" si="36"/>
        <v>5483.3316240000004</v>
      </c>
      <c r="H58" s="45">
        <f t="shared" si="36"/>
        <v>0</v>
      </c>
      <c r="I58" s="45">
        <f t="shared" si="36"/>
        <v>0</v>
      </c>
      <c r="J58" s="45">
        <f t="shared" si="36"/>
        <v>0</v>
      </c>
      <c r="K58" s="45">
        <f t="shared" si="36"/>
        <v>0</v>
      </c>
      <c r="L58" s="45">
        <f t="shared" si="36"/>
        <v>0</v>
      </c>
      <c r="M58" s="45">
        <f t="shared" si="36"/>
        <v>0</v>
      </c>
      <c r="N58" s="45">
        <f>+N46</f>
        <v>0</v>
      </c>
      <c r="O58" s="63"/>
      <c r="P58" s="45">
        <f>MAX(B58:N58)</f>
        <v>5483.3316240000004</v>
      </c>
    </row>
    <row r="59" spans="1:16" x14ac:dyDescent="0.25">
      <c r="A59" s="16" t="s">
        <v>7</v>
      </c>
      <c r="B59" s="45">
        <f>+B47</f>
        <v>0</v>
      </c>
      <c r="C59" s="45">
        <f>+C47</f>
        <v>0</v>
      </c>
      <c r="D59" s="45">
        <f t="shared" si="36"/>
        <v>0</v>
      </c>
      <c r="E59" s="45">
        <f t="shared" si="36"/>
        <v>0</v>
      </c>
      <c r="F59" s="45">
        <f t="shared" si="36"/>
        <v>0</v>
      </c>
      <c r="G59" s="45">
        <f t="shared" si="36"/>
        <v>3004422.8738000002</v>
      </c>
      <c r="H59" s="45">
        <f t="shared" si="36"/>
        <v>0</v>
      </c>
      <c r="I59" s="45">
        <f t="shared" si="36"/>
        <v>0</v>
      </c>
      <c r="J59" s="45">
        <f t="shared" si="36"/>
        <v>0</v>
      </c>
      <c r="K59" s="45">
        <f t="shared" si="36"/>
        <v>0</v>
      </c>
      <c r="L59" s="45">
        <f t="shared" si="36"/>
        <v>0</v>
      </c>
      <c r="M59" s="45">
        <f t="shared" si="36"/>
        <v>0</v>
      </c>
      <c r="N59" s="45">
        <f t="shared" si="36"/>
        <v>0</v>
      </c>
      <c r="O59" s="63">
        <f>SUM(B59:N59)</f>
        <v>3004422.8738000002</v>
      </c>
      <c r="P59" s="43"/>
    </row>
    <row r="60" spans="1:16" x14ac:dyDescent="0.25">
      <c r="B60" s="26"/>
      <c r="C60" s="26"/>
      <c r="D60" s="26"/>
      <c r="E60" s="26"/>
      <c r="F60" s="26"/>
      <c r="O60" s="24"/>
    </row>
    <row r="61" spans="1:16" x14ac:dyDescent="0.25">
      <c r="A61" s="12" t="s">
        <v>21</v>
      </c>
      <c r="B61" s="28"/>
      <c r="C61" s="28"/>
      <c r="D61" s="28"/>
      <c r="E61" s="28"/>
      <c r="F61" s="28"/>
      <c r="G61" s="12"/>
      <c r="H61" s="12"/>
      <c r="I61" s="12"/>
      <c r="J61" s="12"/>
      <c r="K61" s="11"/>
      <c r="L61" s="11"/>
      <c r="M61" s="11"/>
      <c r="N61" s="11"/>
      <c r="O61" s="56"/>
      <c r="P61" s="11"/>
    </row>
    <row r="62" spans="1:16" x14ac:dyDescent="0.25">
      <c r="A62" s="13" t="s">
        <v>6</v>
      </c>
      <c r="B62" s="49">
        <f>+B58</f>
        <v>0</v>
      </c>
      <c r="C62" s="49">
        <f>+C58</f>
        <v>0</v>
      </c>
      <c r="D62" s="49">
        <f>+D58</f>
        <v>0</v>
      </c>
      <c r="E62" s="49">
        <f>+E58</f>
        <v>0</v>
      </c>
      <c r="F62" s="49">
        <f>+F58</f>
        <v>0</v>
      </c>
      <c r="G62" s="49">
        <f t="shared" ref="G62:M62" si="37">+G58</f>
        <v>5483.3316240000004</v>
      </c>
      <c r="H62" s="49">
        <f t="shared" si="37"/>
        <v>0</v>
      </c>
      <c r="I62" s="49">
        <f t="shared" si="37"/>
        <v>0</v>
      </c>
      <c r="J62" s="49">
        <f t="shared" si="37"/>
        <v>0</v>
      </c>
      <c r="K62" s="49">
        <f t="shared" si="37"/>
        <v>0</v>
      </c>
      <c r="L62" s="49">
        <f t="shared" si="37"/>
        <v>0</v>
      </c>
      <c r="M62" s="49">
        <f t="shared" si="37"/>
        <v>0</v>
      </c>
      <c r="N62" s="49">
        <f>+N58</f>
        <v>0</v>
      </c>
      <c r="O62" s="80"/>
      <c r="P62" s="44">
        <f>MAX(B62:N62)</f>
        <v>5483.3316240000004</v>
      </c>
    </row>
    <row r="63" spans="1:16" x14ac:dyDescent="0.25">
      <c r="A63" s="14" t="s">
        <v>18</v>
      </c>
      <c r="B63" s="14" t="e">
        <f t="shared" ref="B63:M63" si="38">+B58/B62</f>
        <v>#DIV/0!</v>
      </c>
      <c r="C63" s="14" t="e">
        <f>+C58/C62</f>
        <v>#DIV/0!</v>
      </c>
      <c r="D63" s="14" t="e">
        <f t="shared" si="38"/>
        <v>#DIV/0!</v>
      </c>
      <c r="E63" s="14" t="e">
        <f t="shared" si="38"/>
        <v>#DIV/0!</v>
      </c>
      <c r="F63" s="14" t="e">
        <f t="shared" si="38"/>
        <v>#DIV/0!</v>
      </c>
      <c r="G63" s="14">
        <f t="shared" si="38"/>
        <v>1</v>
      </c>
      <c r="H63" s="14" t="e">
        <f t="shared" si="38"/>
        <v>#DIV/0!</v>
      </c>
      <c r="I63" s="14" t="e">
        <f t="shared" si="38"/>
        <v>#DIV/0!</v>
      </c>
      <c r="J63" s="14" t="e">
        <f t="shared" si="38"/>
        <v>#DIV/0!</v>
      </c>
      <c r="K63" s="14" t="e">
        <f t="shared" si="38"/>
        <v>#DIV/0!</v>
      </c>
      <c r="L63" s="14" t="e">
        <f t="shared" si="38"/>
        <v>#DIV/0!</v>
      </c>
      <c r="M63" s="14" t="e">
        <f t="shared" si="38"/>
        <v>#DIV/0!</v>
      </c>
      <c r="N63" s="14" t="e">
        <f>+N58/N62</f>
        <v>#DIV/0!</v>
      </c>
      <c r="O63" s="61"/>
      <c r="P63" s="14">
        <f>+P58/P62</f>
        <v>1</v>
      </c>
    </row>
    <row r="64" spans="1:16" x14ac:dyDescent="0.25">
      <c r="A64" s="33"/>
      <c r="B64" s="33"/>
      <c r="C64" s="33"/>
      <c r="D64" s="33"/>
      <c r="E64" s="33"/>
      <c r="F64" s="33"/>
      <c r="G64" s="33"/>
      <c r="H64" s="33"/>
      <c r="I64" s="33"/>
      <c r="J64" s="33"/>
      <c r="K64" s="33"/>
      <c r="L64" s="33"/>
      <c r="M64" s="33"/>
      <c r="N64" s="33"/>
      <c r="O64" s="64"/>
      <c r="P64" s="33"/>
    </row>
    <row r="65" spans="1:16" x14ac:dyDescent="0.25">
      <c r="A65" s="33"/>
      <c r="B65" s="33"/>
      <c r="C65" s="33"/>
      <c r="D65" s="33"/>
      <c r="E65" s="33"/>
      <c r="F65" s="61" t="s">
        <v>160</v>
      </c>
      <c r="G65" s="145" t="e">
        <f>P13+P20+P27+P34</f>
        <v>#N/A</v>
      </c>
      <c r="H65" s="33"/>
      <c r="I65" s="33"/>
      <c r="J65" s="33"/>
      <c r="K65" s="33"/>
      <c r="L65" s="33"/>
      <c r="M65" s="33"/>
      <c r="N65" s="33"/>
      <c r="O65" s="48"/>
      <c r="P65" s="33"/>
    </row>
    <row r="66" spans="1:16" x14ac:dyDescent="0.25">
      <c r="A66" s="33"/>
      <c r="B66" s="33"/>
      <c r="C66" s="33"/>
      <c r="D66" s="33"/>
      <c r="E66" s="33"/>
      <c r="F66" s="61" t="s">
        <v>161</v>
      </c>
      <c r="G66" s="145">
        <f>P46</f>
        <v>5483.3316240000004</v>
      </c>
      <c r="H66" s="33"/>
      <c r="I66" s="33"/>
      <c r="J66" s="33"/>
      <c r="K66" s="33"/>
      <c r="L66" s="33"/>
      <c r="M66" s="33"/>
      <c r="N66" s="33"/>
      <c r="O66" s="48"/>
      <c r="P66" s="33"/>
    </row>
    <row r="67" spans="1:16" x14ac:dyDescent="0.25">
      <c r="F67" s="146" t="s">
        <v>162</v>
      </c>
      <c r="G67" s="147" t="e">
        <f>G65/G66</f>
        <v>#N/A</v>
      </c>
    </row>
    <row r="69" spans="1:16" x14ac:dyDescent="0.25">
      <c r="A69" s="271" t="s">
        <v>255</v>
      </c>
    </row>
    <row r="100" spans="1:1" x14ac:dyDescent="0.25">
      <c r="A100" s="271" t="s">
        <v>256</v>
      </c>
    </row>
    <row r="131" spans="1:1" x14ac:dyDescent="0.25">
      <c r="A131" s="271" t="s">
        <v>257</v>
      </c>
    </row>
    <row r="162" spans="1:1" x14ac:dyDescent="0.25">
      <c r="A162" s="271" t="s">
        <v>258</v>
      </c>
    </row>
  </sheetData>
  <mergeCells count="21">
    <mergeCell ref="A9:A10"/>
    <mergeCell ref="B9:B10"/>
    <mergeCell ref="D9:D10"/>
    <mergeCell ref="L9:L10"/>
    <mergeCell ref="M9:M10"/>
    <mergeCell ref="F9:F10"/>
    <mergeCell ref="C9:C10"/>
    <mergeCell ref="E9:E10"/>
    <mergeCell ref="J9:J10"/>
    <mergeCell ref="P9:P10"/>
    <mergeCell ref="H9:H10"/>
    <mergeCell ref="G9:G10"/>
    <mergeCell ref="K9:K10"/>
    <mergeCell ref="I9:I10"/>
    <mergeCell ref="N9:N10"/>
    <mergeCell ref="O9:O10"/>
    <mergeCell ref="E2:M2"/>
    <mergeCell ref="E3:M3"/>
    <mergeCell ref="E4:M4"/>
    <mergeCell ref="E5:M5"/>
    <mergeCell ref="E6:M6"/>
  </mergeCells>
  <phoneticPr fontId="17" type="noConversion"/>
  <printOptions horizontalCentered="1" verticalCentered="1"/>
  <pageMargins left="0.70866141732283472" right="0.70866141732283472" top="0.74803149606299213" bottom="0.74803149606299213" header="0.31496062992125984" footer="0.31496062992125984"/>
  <pageSetup scale="65" orientation="landscape" r:id="rId1"/>
  <drawing r:id="rId2"/>
  <legacy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Hoja15">
    <tabColor indexed="52"/>
  </sheetPr>
  <dimension ref="A1:AO197"/>
  <sheetViews>
    <sheetView topLeftCell="A19" zoomScale="130" zoomScaleNormal="130" zoomScaleSheetLayoutView="75" workbookViewId="0">
      <selection activeCell="E7" sqref="E7"/>
    </sheetView>
  </sheetViews>
  <sheetFormatPr baseColWidth="10" defaultRowHeight="13.2" x14ac:dyDescent="0.25"/>
  <cols>
    <col min="1" max="16" width="15.6640625" customWidth="1"/>
  </cols>
  <sheetData>
    <row r="1" spans="1:41" ht="13.8" thickBot="1" x14ac:dyDescent="0.3">
      <c r="A1" s="361" t="s">
        <v>435</v>
      </c>
    </row>
    <row r="2" spans="1:41" ht="14.4" thickTop="1" thickBot="1" x14ac:dyDescent="0.3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  <c r="R2" s="209">
        <v>43831</v>
      </c>
      <c r="S2" s="209">
        <v>43862</v>
      </c>
      <c r="T2" s="209">
        <v>43891</v>
      </c>
      <c r="U2" s="209">
        <v>43922</v>
      </c>
      <c r="V2" s="209">
        <v>43952</v>
      </c>
      <c r="W2" s="209">
        <v>43983</v>
      </c>
      <c r="X2" s="209">
        <v>44013</v>
      </c>
      <c r="Y2" s="209">
        <v>44044</v>
      </c>
      <c r="Z2" s="209">
        <v>44075</v>
      </c>
      <c r="AA2" s="209">
        <v>44105</v>
      </c>
      <c r="AB2" s="209">
        <v>44136</v>
      </c>
      <c r="AC2" s="209">
        <v>44166</v>
      </c>
      <c r="AD2" s="209">
        <v>44197</v>
      </c>
      <c r="AE2" s="209">
        <v>44228</v>
      </c>
      <c r="AF2" s="209">
        <v>44256</v>
      </c>
      <c r="AG2" s="209">
        <v>44287</v>
      </c>
      <c r="AH2" s="209">
        <v>44317</v>
      </c>
      <c r="AI2" s="209">
        <v>44348</v>
      </c>
      <c r="AJ2" s="209">
        <v>44378</v>
      </c>
      <c r="AK2" s="209">
        <v>44409</v>
      </c>
      <c r="AL2" s="406">
        <v>44075</v>
      </c>
      <c r="AM2" s="406">
        <v>44105</v>
      </c>
      <c r="AN2" s="406">
        <v>44136</v>
      </c>
      <c r="AO2" s="406">
        <v>44166</v>
      </c>
    </row>
    <row r="3" spans="1:41" ht="14.4" thickTop="1" thickBot="1" x14ac:dyDescent="0.3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  <c r="R3" s="209">
        <v>43831</v>
      </c>
      <c r="S3" s="209">
        <v>43862</v>
      </c>
      <c r="T3" s="209">
        <v>43891</v>
      </c>
      <c r="U3" s="209">
        <v>43922</v>
      </c>
      <c r="V3" s="209">
        <v>43952</v>
      </c>
      <c r="W3" s="209">
        <v>43983</v>
      </c>
      <c r="X3" s="209">
        <v>44013</v>
      </c>
      <c r="Y3" s="209">
        <v>44044</v>
      </c>
      <c r="Z3" s="209">
        <v>44075</v>
      </c>
      <c r="AA3" s="209">
        <v>44105</v>
      </c>
      <c r="AB3" s="209">
        <v>44136</v>
      </c>
      <c r="AC3" s="209">
        <v>44166</v>
      </c>
      <c r="AD3" s="209">
        <v>44197</v>
      </c>
      <c r="AE3" s="209">
        <v>44228</v>
      </c>
      <c r="AF3" s="209">
        <v>44256</v>
      </c>
      <c r="AG3" s="209">
        <v>44287</v>
      </c>
      <c r="AH3" s="209">
        <v>44317</v>
      </c>
      <c r="AI3" s="209">
        <v>44348</v>
      </c>
      <c r="AJ3" s="209">
        <v>44378</v>
      </c>
      <c r="AK3" s="209">
        <v>44409</v>
      </c>
      <c r="AL3" s="407"/>
      <c r="AM3" s="407"/>
      <c r="AN3" s="407"/>
      <c r="AO3" s="407"/>
    </row>
    <row r="4" spans="1:41" ht="13.8" thickTop="1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  <c r="R4" s="43">
        <v>1986</v>
      </c>
      <c r="S4" s="43">
        <v>2279</v>
      </c>
      <c r="T4" s="43">
        <v>2415</v>
      </c>
      <c r="U4" s="43">
        <v>2343</v>
      </c>
      <c r="V4" s="43">
        <v>1805</v>
      </c>
      <c r="W4" s="43">
        <v>1508</v>
      </c>
      <c r="X4" s="43">
        <v>1469</v>
      </c>
      <c r="Y4" s="43">
        <v>1518</v>
      </c>
      <c r="Z4" s="43">
        <v>1575</v>
      </c>
      <c r="AA4" s="43">
        <v>1705</v>
      </c>
      <c r="AB4" s="43">
        <v>1695</v>
      </c>
      <c r="AC4" s="43">
        <v>1575</v>
      </c>
      <c r="AD4" s="184">
        <v>1650</v>
      </c>
      <c r="AE4" s="184">
        <v>1785</v>
      </c>
      <c r="AF4" s="184">
        <v>2140</v>
      </c>
      <c r="AG4" s="184">
        <v>2515</v>
      </c>
      <c r="AH4" s="184">
        <v>2450</v>
      </c>
      <c r="AI4" s="184">
        <v>2150</v>
      </c>
      <c r="AJ4" s="184">
        <v>1998</v>
      </c>
      <c r="AK4" s="184"/>
    </row>
    <row r="5" spans="1:41" x14ac:dyDescent="0.25">
      <c r="E5" s="398" t="s">
        <v>47</v>
      </c>
      <c r="F5" s="398"/>
      <c r="G5" s="398"/>
      <c r="H5" s="398"/>
      <c r="I5" s="398"/>
      <c r="J5" s="398"/>
      <c r="K5" s="398"/>
      <c r="L5" s="398"/>
      <c r="M5" s="398"/>
      <c r="N5" s="20"/>
      <c r="O5" s="20"/>
      <c r="R5" s="43">
        <v>880</v>
      </c>
      <c r="S5" s="43">
        <v>996</v>
      </c>
      <c r="T5" s="43">
        <v>1045</v>
      </c>
      <c r="U5" s="43">
        <v>1212</v>
      </c>
      <c r="V5" s="43">
        <v>990</v>
      </c>
      <c r="W5" s="43">
        <v>850</v>
      </c>
      <c r="X5" s="43">
        <v>770</v>
      </c>
      <c r="Y5" s="43">
        <v>825</v>
      </c>
      <c r="Z5" s="43">
        <v>800</v>
      </c>
      <c r="AA5" s="43">
        <v>825</v>
      </c>
      <c r="AB5" s="43">
        <v>815</v>
      </c>
      <c r="AC5" s="43">
        <v>998</v>
      </c>
      <c r="AD5" s="184">
        <v>875</v>
      </c>
      <c r="AE5" s="184">
        <v>935</v>
      </c>
      <c r="AF5" s="184">
        <v>1075</v>
      </c>
      <c r="AG5" s="184">
        <v>1085</v>
      </c>
      <c r="AH5" s="184">
        <v>1100</v>
      </c>
      <c r="AI5" s="184">
        <v>950</v>
      </c>
      <c r="AJ5" s="184">
        <v>825</v>
      </c>
      <c r="AK5" s="184"/>
    </row>
    <row r="6" spans="1:41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  <c r="R6" s="43">
        <v>675</v>
      </c>
      <c r="S6" s="43">
        <v>758</v>
      </c>
      <c r="T6" s="43">
        <v>950</v>
      </c>
      <c r="U6" s="43">
        <v>989</v>
      </c>
      <c r="V6" s="43">
        <v>1125</v>
      </c>
      <c r="W6" s="43">
        <v>990</v>
      </c>
      <c r="X6" s="43">
        <v>950</v>
      </c>
      <c r="Y6" s="43">
        <v>1100</v>
      </c>
      <c r="Z6" s="43">
        <v>1045</v>
      </c>
      <c r="AA6" s="43">
        <v>990</v>
      </c>
      <c r="AB6" s="43">
        <v>855</v>
      </c>
      <c r="AC6" s="43">
        <v>690</v>
      </c>
      <c r="AD6" s="184">
        <v>735</v>
      </c>
      <c r="AE6" s="184">
        <v>795</v>
      </c>
      <c r="AF6" s="184">
        <v>875</v>
      </c>
      <c r="AG6" s="184">
        <v>945</v>
      </c>
      <c r="AH6" s="184">
        <v>1023</v>
      </c>
      <c r="AI6" s="184">
        <v>1035</v>
      </c>
      <c r="AJ6" s="184">
        <v>845</v>
      </c>
      <c r="AK6" s="184"/>
    </row>
    <row r="7" spans="1:41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R7" s="43">
        <v>3375</v>
      </c>
      <c r="S7" s="43">
        <v>3998</v>
      </c>
      <c r="T7" s="43">
        <v>4095</v>
      </c>
      <c r="U7" s="43">
        <v>4015</v>
      </c>
      <c r="V7" s="43">
        <v>3410</v>
      </c>
      <c r="W7" s="43">
        <v>2780</v>
      </c>
      <c r="X7" s="43">
        <v>2948</v>
      </c>
      <c r="Y7" s="43">
        <v>2978</v>
      </c>
      <c r="Z7" s="43">
        <v>2835</v>
      </c>
      <c r="AA7" s="43">
        <v>2940</v>
      </c>
      <c r="AB7" s="43">
        <v>2730</v>
      </c>
      <c r="AC7" s="43">
        <v>2982</v>
      </c>
      <c r="AD7" s="184">
        <v>3360</v>
      </c>
      <c r="AE7" s="184">
        <v>3255</v>
      </c>
      <c r="AF7" s="184">
        <v>3885</v>
      </c>
      <c r="AG7" s="184">
        <v>4175</v>
      </c>
      <c r="AH7" s="184">
        <v>3960</v>
      </c>
      <c r="AI7" s="184">
        <v>3655</v>
      </c>
      <c r="AJ7" s="184">
        <v>3145</v>
      </c>
      <c r="AK7" s="184"/>
    </row>
    <row r="8" spans="1:41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  <c r="R8" s="43">
        <v>6452</v>
      </c>
      <c r="S8" s="43">
        <v>7865</v>
      </c>
      <c r="T8" s="43">
        <v>8360</v>
      </c>
      <c r="U8" s="43">
        <v>8160</v>
      </c>
      <c r="V8" s="43">
        <v>6855</v>
      </c>
      <c r="W8" s="43">
        <v>5930</v>
      </c>
      <c r="X8" s="43">
        <v>5947</v>
      </c>
      <c r="Y8" s="43">
        <v>5889</v>
      </c>
      <c r="Z8" s="43">
        <v>5728</v>
      </c>
      <c r="AA8" s="43">
        <v>5915</v>
      </c>
      <c r="AB8" s="43">
        <v>5655</v>
      </c>
      <c r="AC8" s="43">
        <v>5895</v>
      </c>
      <c r="AD8" s="47">
        <v>6145</v>
      </c>
      <c r="AE8" s="47">
        <v>6665</v>
      </c>
      <c r="AF8" s="47">
        <v>7705</v>
      </c>
      <c r="AG8" s="47">
        <v>8360</v>
      </c>
      <c r="AH8" s="47">
        <v>7805</v>
      </c>
      <c r="AI8" s="47">
        <v>7387</v>
      </c>
      <c r="AJ8" s="47">
        <v>6253</v>
      </c>
      <c r="AK8" s="47"/>
    </row>
    <row r="9" spans="1:41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41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41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41" s="24" customFormat="1" x14ac:dyDescent="0.25">
      <c r="A12" s="271" t="s">
        <v>458</v>
      </c>
      <c r="B12" s="65"/>
      <c r="C12" s="65"/>
      <c r="D12" s="65"/>
      <c r="E12" s="65"/>
      <c r="F12" s="65"/>
      <c r="G12" s="66"/>
      <c r="H12" s="66"/>
      <c r="I12" s="66"/>
      <c r="J12" s="66"/>
      <c r="K12" s="36"/>
      <c r="L12" s="36"/>
      <c r="M12" s="36"/>
      <c r="N12" s="36"/>
      <c r="O12" s="36"/>
      <c r="P12" s="36"/>
    </row>
    <row r="13" spans="1:41" x14ac:dyDescent="0.25">
      <c r="A13" s="97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1959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3">
        <f>MAX(B13:N13)</f>
        <v>1959</v>
      </c>
    </row>
    <row r="14" spans="1:41" x14ac:dyDescent="0.25">
      <c r="A14" s="97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869039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869039</v>
      </c>
      <c r="P14" s="43">
        <f>SUM(B14:N14)/(COUNTIF(B14:N14,"&gt;0"))</f>
        <v>869039</v>
      </c>
    </row>
    <row r="15" spans="1:41" x14ac:dyDescent="0.25">
      <c r="A15" s="97" t="s">
        <v>16</v>
      </c>
      <c r="B15" s="98" t="e">
        <f>+((B13/B17)^2-(B13^2))^(0.5)</f>
        <v>#DIV/0!</v>
      </c>
      <c r="C15" s="98" t="e">
        <f>+((C13/C17)^2-(C13^2))^(0.5)</f>
        <v>#DIV/0!</v>
      </c>
      <c r="D15" s="98" t="e">
        <f t="shared" ref="D15:N15" si="0">+((D13/D17)^2-(D13^2))^(0.5)</f>
        <v>#DIV/0!</v>
      </c>
      <c r="E15" s="98" t="e">
        <f t="shared" si="0"/>
        <v>#DIV/0!</v>
      </c>
      <c r="F15" s="98" t="e">
        <f t="shared" si="0"/>
        <v>#DIV/0!</v>
      </c>
      <c r="G15" s="98">
        <f t="shared" si="0"/>
        <v>116.04837200417251</v>
      </c>
      <c r="H15" s="98" t="e">
        <f t="shared" si="0"/>
        <v>#DIV/0!</v>
      </c>
      <c r="I15" s="98" t="e">
        <f t="shared" si="0"/>
        <v>#DIV/0!</v>
      </c>
      <c r="J15" s="98" t="e">
        <f t="shared" si="0"/>
        <v>#DIV/0!</v>
      </c>
      <c r="K15" s="98" t="e">
        <f t="shared" si="0"/>
        <v>#DIV/0!</v>
      </c>
      <c r="L15" s="98" t="e">
        <f t="shared" si="0"/>
        <v>#DIV/0!</v>
      </c>
      <c r="M15" s="98" t="e">
        <f t="shared" si="0"/>
        <v>#DIV/0!</v>
      </c>
      <c r="N15" s="37" t="e">
        <f t="shared" si="0"/>
        <v>#DIV/0!</v>
      </c>
      <c r="O15" s="37"/>
      <c r="P15" s="4">
        <f>HLOOKUP(P13,B13:N15,3,FALSE)</f>
        <v>116.04837200417251</v>
      </c>
    </row>
    <row r="16" spans="1:41" x14ac:dyDescent="0.25">
      <c r="A16" s="97" t="s">
        <v>8</v>
      </c>
      <c r="B16" s="98">
        <f>+B14/(24*B$8)</f>
        <v>0</v>
      </c>
      <c r="C16" s="98">
        <f>+C14/(24*C$8)</f>
        <v>0</v>
      </c>
      <c r="D16" s="98">
        <f>+D14/(24*D$8)</f>
        <v>0</v>
      </c>
      <c r="E16" s="98">
        <f>+E14/(24*E$8)</f>
        <v>0</v>
      </c>
      <c r="F16" s="98">
        <f t="shared" ref="F16:N16" si="1">+F14/(24*F$8)</f>
        <v>0</v>
      </c>
      <c r="G16" s="98">
        <f t="shared" si="1"/>
        <v>1168.0631720430108</v>
      </c>
      <c r="H16" s="98">
        <f t="shared" si="1"/>
        <v>0</v>
      </c>
      <c r="I16" s="98">
        <f t="shared" si="1"/>
        <v>0</v>
      </c>
      <c r="J16" s="98">
        <f t="shared" si="1"/>
        <v>0</v>
      </c>
      <c r="K16" s="98">
        <f t="shared" si="1"/>
        <v>0</v>
      </c>
      <c r="L16" s="98">
        <f t="shared" si="1"/>
        <v>0</v>
      </c>
      <c r="M16" s="98">
        <f t="shared" si="1"/>
        <v>0</v>
      </c>
      <c r="N16" s="37">
        <f t="shared" si="1"/>
        <v>0</v>
      </c>
      <c r="O16" s="6">
        <f>SUM(O14)/(24*O$8)</f>
        <v>99.205365296803649</v>
      </c>
      <c r="P16" s="4">
        <f>O14/(COUNTIF(B14:N14,"&gt;0")*720)</f>
        <v>1206.9986111111111</v>
      </c>
    </row>
    <row r="17" spans="1:16" x14ac:dyDescent="0.25">
      <c r="A17" s="97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0.99824999999999997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0.99824999999999997</v>
      </c>
    </row>
    <row r="18" spans="1:16" x14ac:dyDescent="0.25">
      <c r="A18" s="97" t="s">
        <v>17</v>
      </c>
      <c r="B18" s="98" t="e">
        <f t="shared" ref="B18:N18" si="2">+B16/B13</f>
        <v>#DIV/0!</v>
      </c>
      <c r="C18" s="98" t="e">
        <f>+C16/C13</f>
        <v>#DIV/0!</v>
      </c>
      <c r="D18" s="98" t="e">
        <f t="shared" si="2"/>
        <v>#DIV/0!</v>
      </c>
      <c r="E18" s="98" t="e">
        <f t="shared" si="2"/>
        <v>#DIV/0!</v>
      </c>
      <c r="F18" s="98" t="e">
        <f t="shared" si="2"/>
        <v>#DIV/0!</v>
      </c>
      <c r="G18" s="98">
        <f t="shared" si="2"/>
        <v>0.59625480961868849</v>
      </c>
      <c r="H18" s="98" t="e">
        <f t="shared" si="2"/>
        <v>#DIV/0!</v>
      </c>
      <c r="I18" s="98" t="e">
        <f t="shared" si="2"/>
        <v>#DIV/0!</v>
      </c>
      <c r="J18" s="98" t="e">
        <f t="shared" si="2"/>
        <v>#DIV/0!</v>
      </c>
      <c r="K18" s="98" t="e">
        <f t="shared" si="2"/>
        <v>#DIV/0!</v>
      </c>
      <c r="L18" s="98" t="e">
        <f t="shared" si="2"/>
        <v>#DIV/0!</v>
      </c>
      <c r="M18" s="98" t="e">
        <f t="shared" si="2"/>
        <v>#DIV/0!</v>
      </c>
      <c r="N18" s="37" t="e">
        <f t="shared" si="2"/>
        <v>#DIV/0!</v>
      </c>
      <c r="O18" s="6"/>
      <c r="P18" s="4">
        <f>+P16/P13</f>
        <v>0.61612996993931146</v>
      </c>
    </row>
    <row r="19" spans="1:16" s="24" customFormat="1" x14ac:dyDescent="0.25">
      <c r="A19" s="271" t="s">
        <v>459</v>
      </c>
      <c r="B19" s="65"/>
      <c r="C19" s="65"/>
      <c r="D19" s="65"/>
      <c r="E19" s="65"/>
      <c r="F19" s="65"/>
      <c r="G19" s="66"/>
      <c r="H19" s="66"/>
      <c r="I19" s="66"/>
      <c r="J19" s="66"/>
      <c r="K19" s="36"/>
      <c r="L19" s="36"/>
      <c r="M19" s="36"/>
      <c r="N19" s="36"/>
      <c r="O19" s="36"/>
      <c r="P19" s="36"/>
    </row>
    <row r="20" spans="1:16" x14ac:dyDescent="0.25">
      <c r="A20" s="97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1206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1206</v>
      </c>
    </row>
    <row r="21" spans="1:16" x14ac:dyDescent="0.25">
      <c r="A21" s="97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480241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480241</v>
      </c>
      <c r="P21" s="43">
        <f>SUM(B21:N21)/(COUNTIF(B21:N21,"&gt;0"))</f>
        <v>480241</v>
      </c>
    </row>
    <row r="22" spans="1:16" x14ac:dyDescent="0.25">
      <c r="A22" s="97" t="s">
        <v>16</v>
      </c>
      <c r="B22" s="98" t="e">
        <f t="shared" ref="B22:N22" si="3">+((B20/B24)^2-(B20^2))^(0.5)</f>
        <v>#DIV/0!</v>
      </c>
      <c r="C22" s="98" t="e">
        <f>+((C20/C24)^2-(C20^2))^(0.5)</f>
        <v>#DIV/0!</v>
      </c>
      <c r="D22" s="98" t="e">
        <f t="shared" si="3"/>
        <v>#DIV/0!</v>
      </c>
      <c r="E22" s="98" t="e">
        <f t="shared" si="3"/>
        <v>#DIV/0!</v>
      </c>
      <c r="F22" s="98" t="e">
        <f t="shared" si="3"/>
        <v>#DIV/0!</v>
      </c>
      <c r="G22" s="98">
        <f t="shared" si="3"/>
        <v>414.09190526030943</v>
      </c>
      <c r="H22" s="98" t="e">
        <f t="shared" si="3"/>
        <v>#DIV/0!</v>
      </c>
      <c r="I22" s="98" t="e">
        <f t="shared" si="3"/>
        <v>#DIV/0!</v>
      </c>
      <c r="J22" s="98" t="e">
        <f t="shared" si="3"/>
        <v>#DIV/0!</v>
      </c>
      <c r="K22" s="98" t="e">
        <f t="shared" si="3"/>
        <v>#DIV/0!</v>
      </c>
      <c r="L22" s="98" t="e">
        <f t="shared" si="3"/>
        <v>#DIV/0!</v>
      </c>
      <c r="M22" s="98" t="e">
        <f t="shared" si="3"/>
        <v>#DIV/0!</v>
      </c>
      <c r="N22" s="37" t="e">
        <f t="shared" si="3"/>
        <v>#DIV/0!</v>
      </c>
      <c r="O22" s="37"/>
      <c r="P22" s="4">
        <f>HLOOKUP(P20,B20:N22,3,FALSE)</f>
        <v>414.09190526030943</v>
      </c>
    </row>
    <row r="23" spans="1:16" x14ac:dyDescent="0.25">
      <c r="A23" s="97" t="s">
        <v>8</v>
      </c>
      <c r="B23" s="98">
        <f>+B21/(24*B$8)</f>
        <v>0</v>
      </c>
      <c r="C23" s="98">
        <f>+C21/(24*C$8)</f>
        <v>0</v>
      </c>
      <c r="D23" s="98">
        <f>+D21/(24*D$8)</f>
        <v>0</v>
      </c>
      <c r="E23" s="98">
        <f>+E21/(24*E$8)</f>
        <v>0</v>
      </c>
      <c r="F23" s="98">
        <f t="shared" ref="F23:N23" si="4">+F21/(24*F$8)</f>
        <v>0</v>
      </c>
      <c r="G23" s="98">
        <f t="shared" si="4"/>
        <v>645.48521505376345</v>
      </c>
      <c r="H23" s="98">
        <f t="shared" si="4"/>
        <v>0</v>
      </c>
      <c r="I23" s="98">
        <f t="shared" si="4"/>
        <v>0</v>
      </c>
      <c r="J23" s="98">
        <f t="shared" si="4"/>
        <v>0</v>
      </c>
      <c r="K23" s="98">
        <f t="shared" si="4"/>
        <v>0</v>
      </c>
      <c r="L23" s="98">
        <f t="shared" si="4"/>
        <v>0</v>
      </c>
      <c r="M23" s="98">
        <f t="shared" si="4"/>
        <v>0</v>
      </c>
      <c r="N23" s="37">
        <f t="shared" si="4"/>
        <v>0</v>
      </c>
      <c r="O23" s="6">
        <f>SUM(O21)/(24*O$8)</f>
        <v>54.822031963470323</v>
      </c>
      <c r="P23" s="4">
        <f>O21/(COUNTIF(B21:N21,"&gt;0")*720)</f>
        <v>667.00138888888887</v>
      </c>
    </row>
    <row r="24" spans="1:16" x14ac:dyDescent="0.25">
      <c r="A24" s="97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0.94579999999999997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0.94579999999999997</v>
      </c>
    </row>
    <row r="25" spans="1:16" x14ac:dyDescent="0.25">
      <c r="A25" s="97" t="s">
        <v>17</v>
      </c>
      <c r="B25" s="98" t="e">
        <f>+B23/B20</f>
        <v>#DIV/0!</v>
      </c>
      <c r="C25" s="98" t="e">
        <f>+C23/C20</f>
        <v>#DIV/0!</v>
      </c>
      <c r="D25" s="98" t="e">
        <f t="shared" ref="D25:N25" si="5">+D23/D20</f>
        <v>#DIV/0!</v>
      </c>
      <c r="E25" s="98" t="e">
        <f t="shared" si="5"/>
        <v>#DIV/0!</v>
      </c>
      <c r="F25" s="98" t="e">
        <f t="shared" si="5"/>
        <v>#DIV/0!</v>
      </c>
      <c r="G25" s="98">
        <f t="shared" si="5"/>
        <v>0.53522820485386691</v>
      </c>
      <c r="H25" s="98" t="e">
        <f t="shared" si="5"/>
        <v>#DIV/0!</v>
      </c>
      <c r="I25" s="98" t="e">
        <f t="shared" si="5"/>
        <v>#DIV/0!</v>
      </c>
      <c r="J25" s="98" t="e">
        <f t="shared" si="5"/>
        <v>#DIV/0!</v>
      </c>
      <c r="K25" s="98" t="e">
        <f t="shared" si="5"/>
        <v>#DIV/0!</v>
      </c>
      <c r="L25" s="98" t="e">
        <f t="shared" si="5"/>
        <v>#DIV/0!</v>
      </c>
      <c r="M25" s="98" t="e">
        <f t="shared" si="5"/>
        <v>#DIV/0!</v>
      </c>
      <c r="N25" s="37" t="e">
        <f t="shared" si="5"/>
        <v>#DIV/0!</v>
      </c>
      <c r="O25" s="6"/>
      <c r="P25" s="4">
        <f>+P23/P20</f>
        <v>0.5530691450156624</v>
      </c>
    </row>
    <row r="26" spans="1:16" s="24" customFormat="1" x14ac:dyDescent="0.25">
      <c r="A26" s="271" t="s">
        <v>460</v>
      </c>
      <c r="B26" s="65"/>
      <c r="C26" s="65"/>
      <c r="D26" s="65"/>
      <c r="E26" s="65"/>
      <c r="F26" s="65"/>
      <c r="G26" s="66"/>
      <c r="H26" s="66"/>
      <c r="I26" s="66"/>
      <c r="J26" s="66"/>
      <c r="K26" s="36"/>
      <c r="L26" s="36"/>
      <c r="M26" s="36"/>
      <c r="N26" s="36"/>
      <c r="O26" s="36"/>
      <c r="P26" s="36"/>
    </row>
    <row r="27" spans="1:16" x14ac:dyDescent="0.25">
      <c r="A27" s="97" t="s">
        <v>6</v>
      </c>
      <c r="B27" s="381">
        <f>VLOOKUP($A$26,TABLA_1[],5,FALSE)</f>
        <v>0</v>
      </c>
      <c r="C27" s="381">
        <f>VLOOKUP($A$26,TABLA_2[],5,FALSE)</f>
        <v>0</v>
      </c>
      <c r="D27" s="381">
        <f>VLOOKUP($A$26,TABLA_3[],5,FALSE)</f>
        <v>0</v>
      </c>
      <c r="E27" s="381">
        <f>VLOOKUP($A$26,TABLA_4[],5,FALSE)</f>
        <v>0</v>
      </c>
      <c r="F27" s="381">
        <f>VLOOKUP($A$26,TABLA_5[],5,FALSE)</f>
        <v>0</v>
      </c>
      <c r="G27" s="381">
        <f>VLOOKUP($A$26,TABLA_6[],5,FALSE)</f>
        <v>1077</v>
      </c>
      <c r="H27" s="381">
        <f>VLOOKUP($A$26,TABLA_7[],5,FALSE)</f>
        <v>0</v>
      </c>
      <c r="I27" s="381">
        <f>VLOOKUP($A$26,TABLA_8[],5,FALSE)</f>
        <v>0</v>
      </c>
      <c r="J27" s="381">
        <f>VLOOKUP($A$26,TABLA_9[],5,FALSE)</f>
        <v>0</v>
      </c>
      <c r="K27" s="381">
        <f>VLOOKUP($A$26,TABLA_10[],5,FALSE)</f>
        <v>0</v>
      </c>
      <c r="L27" s="381">
        <f>VLOOKUP($A$26,TABLA_11[],5,FALSE)</f>
        <v>0</v>
      </c>
      <c r="M27" s="381">
        <f>VLOOKUP($A$26,TABLA_12[],5,FALSE)</f>
        <v>0</v>
      </c>
      <c r="N27" s="381">
        <f>VLOOKUP($A$26,TABLA_13[],5,FALSE)</f>
        <v>0</v>
      </c>
      <c r="O27" s="6"/>
      <c r="P27" s="43">
        <f>MAX(B27:N27)</f>
        <v>1077</v>
      </c>
    </row>
    <row r="28" spans="1:16" x14ac:dyDescent="0.25">
      <c r="A28" s="97" t="s">
        <v>7</v>
      </c>
      <c r="B28" s="382">
        <f>VLOOKUP($A$26,TABLA_1[],8,FALSE)</f>
        <v>0</v>
      </c>
      <c r="C28" s="382">
        <f>VLOOKUP($A$26,TABLA_2[],8,FALSE)</f>
        <v>0</v>
      </c>
      <c r="D28" s="382">
        <f>VLOOKUP($A$26,TABLA_3[],8,FALSE)</f>
        <v>0</v>
      </c>
      <c r="E28" s="382">
        <f>VLOOKUP($A$26,TABLA_4[],8,FALSE)</f>
        <v>0</v>
      </c>
      <c r="F28" s="382">
        <f>VLOOKUP($A$26,TABLA_5[],8,FALSE)</f>
        <v>0</v>
      </c>
      <c r="G28" s="382">
        <f>VLOOKUP($A$26,TABLA_6[],8,FALSE)</f>
        <v>447499</v>
      </c>
      <c r="H28" s="382">
        <f>VLOOKUP($A$26,TABLA_7[],8,FALSE)</f>
        <v>0</v>
      </c>
      <c r="I28" s="382">
        <f>VLOOKUP($A$26,TABLA_8[],8,FALSE)</f>
        <v>0</v>
      </c>
      <c r="J28" s="382">
        <f>VLOOKUP($A$26,TABLA_9[],8,FALSE)</f>
        <v>0</v>
      </c>
      <c r="K28" s="382">
        <f>VLOOKUP($A$26,TABLA_10[],8,FALSE)</f>
        <v>0</v>
      </c>
      <c r="L28" s="382">
        <f>VLOOKUP($A$26,TABLA_11[],8,FALSE)</f>
        <v>0</v>
      </c>
      <c r="M28" s="382">
        <f>VLOOKUP($A$26,TABLA_12[],8,FALSE)</f>
        <v>0</v>
      </c>
      <c r="N28" s="382">
        <f>VLOOKUP($A$26,TABLA_13[],8,FALSE)</f>
        <v>0</v>
      </c>
      <c r="O28" s="47">
        <f>SUM(B28:N28)</f>
        <v>447499</v>
      </c>
      <c r="P28" s="43">
        <f>SUM(B28:N28)/(COUNTIF(B28:N28,"&gt;0"))</f>
        <v>447499</v>
      </c>
    </row>
    <row r="29" spans="1:16" x14ac:dyDescent="0.25">
      <c r="A29" s="97" t="s">
        <v>16</v>
      </c>
      <c r="B29" s="98" t="e">
        <f t="shared" ref="B29:N29" si="6">+((B27/B31)^2-(B27^2))^(0.5)</f>
        <v>#DIV/0!</v>
      </c>
      <c r="C29" s="98" t="e">
        <f>+((C27/C31)^2-(C27^2))^(0.5)</f>
        <v>#DIV/0!</v>
      </c>
      <c r="D29" s="98" t="e">
        <f t="shared" si="6"/>
        <v>#DIV/0!</v>
      </c>
      <c r="E29" s="98" t="e">
        <f t="shared" si="6"/>
        <v>#DIV/0!</v>
      </c>
      <c r="F29" s="98" t="e">
        <f t="shared" si="6"/>
        <v>#DIV/0!</v>
      </c>
      <c r="G29" s="98">
        <f t="shared" si="6"/>
        <v>71.558223210164627</v>
      </c>
      <c r="H29" s="98" t="e">
        <f t="shared" si="6"/>
        <v>#DIV/0!</v>
      </c>
      <c r="I29" s="98" t="e">
        <f t="shared" si="6"/>
        <v>#DIV/0!</v>
      </c>
      <c r="J29" s="98" t="e">
        <f t="shared" si="6"/>
        <v>#DIV/0!</v>
      </c>
      <c r="K29" s="98" t="e">
        <f t="shared" si="6"/>
        <v>#DIV/0!</v>
      </c>
      <c r="L29" s="98" t="e">
        <f t="shared" si="6"/>
        <v>#DIV/0!</v>
      </c>
      <c r="M29" s="98">
        <f t="shared" si="6"/>
        <v>0</v>
      </c>
      <c r="N29" s="37">
        <f t="shared" si="6"/>
        <v>0</v>
      </c>
      <c r="O29" s="37"/>
      <c r="P29" s="4">
        <f>HLOOKUP(P27,B27:N29,3,FALSE)</f>
        <v>71.558223210164627</v>
      </c>
    </row>
    <row r="30" spans="1:16" x14ac:dyDescent="0.25">
      <c r="A30" s="97" t="s">
        <v>8</v>
      </c>
      <c r="B30" s="98">
        <f>+B28/(24*B$8)</f>
        <v>0</v>
      </c>
      <c r="C30" s="98">
        <f>+C28/(24*C$8)</f>
        <v>0</v>
      </c>
      <c r="D30" s="98">
        <f>+D28/(24*D$8)</f>
        <v>0</v>
      </c>
      <c r="E30" s="98">
        <f>+E28/(24*E$8)</f>
        <v>0</v>
      </c>
      <c r="F30" s="98">
        <f t="shared" ref="F30:N30" si="7">+F28/(24*F$8)</f>
        <v>0</v>
      </c>
      <c r="G30" s="98">
        <f t="shared" si="7"/>
        <v>601.47715053763443</v>
      </c>
      <c r="H30" s="98">
        <f t="shared" si="7"/>
        <v>0</v>
      </c>
      <c r="I30" s="98">
        <f t="shared" si="7"/>
        <v>0</v>
      </c>
      <c r="J30" s="98">
        <f t="shared" si="7"/>
        <v>0</v>
      </c>
      <c r="K30" s="98">
        <f t="shared" si="7"/>
        <v>0</v>
      </c>
      <c r="L30" s="98">
        <f t="shared" si="7"/>
        <v>0</v>
      </c>
      <c r="M30" s="98">
        <f t="shared" si="7"/>
        <v>0</v>
      </c>
      <c r="N30" s="37">
        <f t="shared" si="7"/>
        <v>0</v>
      </c>
      <c r="O30" s="6">
        <f>SUM(O28)/(24*O$8)</f>
        <v>51.084360730593609</v>
      </c>
      <c r="P30" s="4">
        <f>O28/(COUNTIF(B28:N28,"&gt;0")*720)</f>
        <v>621.52638888888885</v>
      </c>
    </row>
    <row r="31" spans="1:16" x14ac:dyDescent="0.25">
      <c r="A31" s="97" t="s">
        <v>9</v>
      </c>
      <c r="B31" s="383">
        <f>VLOOKUP($A$26,TABLA_1[],10,FALSE)</f>
        <v>0</v>
      </c>
      <c r="C31" s="383">
        <f>VLOOKUP($A$26,TABLA_2[],10,FALSE)</f>
        <v>0</v>
      </c>
      <c r="D31" s="383">
        <f>VLOOKUP($A$26,TABLA_3[],10,FALSE)</f>
        <v>0</v>
      </c>
      <c r="E31" s="383">
        <f>VLOOKUP($A$26,TABLA_4[],10,FALSE)</f>
        <v>0</v>
      </c>
      <c r="F31" s="383">
        <f>VLOOKUP($A$26,TABLA_5[],10,FALSE)</f>
        <v>0</v>
      </c>
      <c r="G31" s="383">
        <f>VLOOKUP($A$26,TABLA_6[],10,FALSE)</f>
        <v>0.99780000000000002</v>
      </c>
      <c r="H31" s="383">
        <f>VLOOKUP($A$26,TABLA_7[],10,FALSE)</f>
        <v>0</v>
      </c>
      <c r="I31" s="383">
        <f>VLOOKUP($A$26,TABLA_8[],10,FALSE)</f>
        <v>0</v>
      </c>
      <c r="J31" s="383">
        <f>VLOOKUP($A$26,TABLA_9[],10,FALSE)</f>
        <v>0</v>
      </c>
      <c r="K31" s="383">
        <f>VLOOKUP($A$26,TABLA_10[],10,FALSE)</f>
        <v>0</v>
      </c>
      <c r="L31" s="383">
        <f>VLOOKUP($A$26,TABLA_11[],10,FALSE)</f>
        <v>0</v>
      </c>
      <c r="M31" s="383">
        <f>VLOOKUP($A$26,TABLA_6[],10,FALSE)</f>
        <v>0.99780000000000002</v>
      </c>
      <c r="N31" s="383">
        <f>VLOOKUP($A$26,TABLA_6[],10,FALSE)</f>
        <v>0.99780000000000002</v>
      </c>
      <c r="O31" s="6"/>
      <c r="P31" s="4">
        <f>COS(ATAN(P29/P27))</f>
        <v>0.99780000000000002</v>
      </c>
    </row>
    <row r="32" spans="1:16" x14ac:dyDescent="0.25">
      <c r="A32" s="97" t="s">
        <v>17</v>
      </c>
      <c r="B32" s="98" t="e">
        <f>+B30/B27</f>
        <v>#DIV/0!</v>
      </c>
      <c r="C32" s="98" t="e">
        <f>+C30/C27</f>
        <v>#DIV/0!</v>
      </c>
      <c r="D32" s="98" t="e">
        <f t="shared" ref="D32:N32" si="8">+D30/D27</f>
        <v>#DIV/0!</v>
      </c>
      <c r="E32" s="98" t="e">
        <f t="shared" si="8"/>
        <v>#DIV/0!</v>
      </c>
      <c r="F32" s="98" t="e">
        <f t="shared" si="8"/>
        <v>#DIV/0!</v>
      </c>
      <c r="G32" s="98">
        <f t="shared" si="8"/>
        <v>0.55847460588452591</v>
      </c>
      <c r="H32" s="98" t="e">
        <f t="shared" si="8"/>
        <v>#DIV/0!</v>
      </c>
      <c r="I32" s="98" t="e">
        <f t="shared" si="8"/>
        <v>#DIV/0!</v>
      </c>
      <c r="J32" s="98" t="e">
        <f t="shared" si="8"/>
        <v>#DIV/0!</v>
      </c>
      <c r="K32" s="98" t="e">
        <f t="shared" si="8"/>
        <v>#DIV/0!</v>
      </c>
      <c r="L32" s="98" t="e">
        <f>+L30/L27</f>
        <v>#DIV/0!</v>
      </c>
      <c r="M32" s="98" t="e">
        <f t="shared" si="8"/>
        <v>#DIV/0!</v>
      </c>
      <c r="N32" s="37" t="e">
        <f t="shared" si="8"/>
        <v>#DIV/0!</v>
      </c>
      <c r="O32" s="6"/>
      <c r="P32" s="4">
        <f>+P30/P27</f>
        <v>0.57709042608067673</v>
      </c>
    </row>
    <row r="33" spans="1:16" s="24" customFormat="1" x14ac:dyDescent="0.25">
      <c r="A33" s="271" t="s">
        <v>461</v>
      </c>
      <c r="B33" s="65"/>
      <c r="C33" s="65"/>
      <c r="D33" s="65"/>
      <c r="E33" s="65"/>
      <c r="F33" s="65"/>
      <c r="G33" s="66"/>
      <c r="H33" s="66"/>
      <c r="I33" s="66"/>
      <c r="J33" s="66"/>
      <c r="K33" s="36"/>
      <c r="L33" s="36"/>
      <c r="M33" s="36"/>
      <c r="N33" s="36"/>
      <c r="O33" s="36"/>
      <c r="P33" s="36"/>
    </row>
    <row r="34" spans="1:16" x14ac:dyDescent="0.25">
      <c r="A34" s="97" t="s">
        <v>6</v>
      </c>
      <c r="B34" s="380">
        <f>VLOOKUP($A$33,TABLA_1[],5,FALSE)</f>
        <v>0</v>
      </c>
      <c r="C34" s="380">
        <f>VLOOKUP($A$33,TABLA_2[],5,FALSE)</f>
        <v>0</v>
      </c>
      <c r="D34" s="380">
        <f>VLOOKUP($A$33,TABLA_3[],5,FALSE)</f>
        <v>0</v>
      </c>
      <c r="E34" s="380">
        <f>VLOOKUP($A$33,TABLA_4[],5,FALSE)</f>
        <v>0</v>
      </c>
      <c r="F34" s="380">
        <f>VLOOKUP($A$33,TABLA_5[],5,FALSE)</f>
        <v>0</v>
      </c>
      <c r="G34" s="380">
        <f>VLOOKUP($A$33,TABLA_6[],5,FALSE)</f>
        <v>3460</v>
      </c>
      <c r="H34" s="380">
        <f>VLOOKUP($A$33,TABLA_7[],5,FALSE)</f>
        <v>0</v>
      </c>
      <c r="I34" s="380">
        <f>VLOOKUP($A$33,TABLA_8[],5,FALSE)</f>
        <v>0</v>
      </c>
      <c r="J34" s="380">
        <f>VLOOKUP($A$33,TABLA_9[],5,FALSE)</f>
        <v>0</v>
      </c>
      <c r="K34" s="380">
        <f>VLOOKUP($A$33,TABLA_10[],5,FALSE)</f>
        <v>0</v>
      </c>
      <c r="L34" s="380">
        <f>VLOOKUP($A$33,TABLA_11[],5,FALSE)</f>
        <v>0</v>
      </c>
      <c r="M34" s="380">
        <f>VLOOKUP($A$33,TABLA_12[],5,FALSE)</f>
        <v>0</v>
      </c>
      <c r="N34" s="380">
        <f>VLOOKUP($A$33,TABLA_13[],5,FALSE)</f>
        <v>0</v>
      </c>
      <c r="O34" s="6"/>
      <c r="P34" s="43">
        <f>MAX(B34:N34)</f>
        <v>3460</v>
      </c>
    </row>
    <row r="35" spans="1:16" x14ac:dyDescent="0.25">
      <c r="A35" s="97" t="s">
        <v>7</v>
      </c>
      <c r="B35" s="380">
        <f>VLOOKUP($A$33,TABLA_1[],8,FALSE)</f>
        <v>0</v>
      </c>
      <c r="C35" s="380">
        <f>VLOOKUP($A$33,TABLA_2[],8,FALSE)</f>
        <v>0</v>
      </c>
      <c r="D35" s="380">
        <f>VLOOKUP($A$33,TABLA_3[],8,FALSE)</f>
        <v>0</v>
      </c>
      <c r="E35" s="380">
        <f>VLOOKUP($A$33,TABLA_4[],8,FALSE)</f>
        <v>0</v>
      </c>
      <c r="F35" s="380">
        <f>VLOOKUP($A$33,TABLA_5[],8,FALSE)</f>
        <v>0</v>
      </c>
      <c r="G35" s="380">
        <f>VLOOKUP($A$33,TABLA_6[],8,FALSE)</f>
        <v>1713092</v>
      </c>
      <c r="H35" s="380">
        <f>VLOOKUP($A$33,TABLA_7[],8,FALSE)</f>
        <v>0</v>
      </c>
      <c r="I35" s="380">
        <f>VLOOKUP($A$33,TABLA_8[],8,FALSE)</f>
        <v>0</v>
      </c>
      <c r="J35" s="380">
        <f>VLOOKUP($A$33,TABLA_9[],8,FALSE)</f>
        <v>0</v>
      </c>
      <c r="K35" s="380">
        <f>VLOOKUP($A$33,TABLA_10[],8,FALSE)</f>
        <v>0</v>
      </c>
      <c r="L35" s="380">
        <f>VLOOKUP($A$33,TABLA_11[],8,FALSE)</f>
        <v>0</v>
      </c>
      <c r="M35" s="380">
        <f>VLOOKUP($A$33,TABLA_12[],8,FALSE)</f>
        <v>0</v>
      </c>
      <c r="N35" s="380">
        <f>VLOOKUP($A$33,TABLA_13[],8,FALSE)</f>
        <v>0</v>
      </c>
      <c r="O35" s="47">
        <f>SUM(B35:N35)</f>
        <v>1713092</v>
      </c>
      <c r="P35" s="43">
        <f>SUM(B35:N35)/(COUNTIF(B35:N35,"&gt;0"))</f>
        <v>1713092</v>
      </c>
    </row>
    <row r="36" spans="1:16" x14ac:dyDescent="0.25">
      <c r="A36" s="97" t="s">
        <v>16</v>
      </c>
      <c r="B36" s="98" t="e">
        <f t="shared" ref="B36:N36" si="9">+((B34/B38)^2-(B34^2))^(0.5)</f>
        <v>#DIV/0!</v>
      </c>
      <c r="C36" s="98" t="e">
        <f>+((C34/C38)^2-(C34^2))^(0.5)</f>
        <v>#DIV/0!</v>
      </c>
      <c r="D36" s="98" t="e">
        <f t="shared" si="9"/>
        <v>#DIV/0!</v>
      </c>
      <c r="E36" s="98" t="e">
        <f t="shared" si="9"/>
        <v>#DIV/0!</v>
      </c>
      <c r="F36" s="98" t="e">
        <f t="shared" si="9"/>
        <v>#DIV/0!</v>
      </c>
      <c r="G36" s="98">
        <f t="shared" si="9"/>
        <v>606.12996331483782</v>
      </c>
      <c r="H36" s="98" t="e">
        <f t="shared" si="9"/>
        <v>#DIV/0!</v>
      </c>
      <c r="I36" s="98" t="e">
        <f t="shared" si="9"/>
        <v>#DIV/0!</v>
      </c>
      <c r="J36" s="98" t="e">
        <f t="shared" si="9"/>
        <v>#DIV/0!</v>
      </c>
      <c r="K36" s="98" t="e">
        <f t="shared" si="9"/>
        <v>#DIV/0!</v>
      </c>
      <c r="L36" s="98" t="e">
        <f t="shared" si="9"/>
        <v>#DIV/0!</v>
      </c>
      <c r="M36" s="98" t="e">
        <f t="shared" si="9"/>
        <v>#DIV/0!</v>
      </c>
      <c r="N36" s="37" t="e">
        <f t="shared" si="9"/>
        <v>#DIV/0!</v>
      </c>
      <c r="O36" s="37"/>
      <c r="P36" s="4">
        <f>HLOOKUP(P34,B34:N36,3,FALSE)</f>
        <v>606.12996331483782</v>
      </c>
    </row>
    <row r="37" spans="1:16" x14ac:dyDescent="0.25">
      <c r="A37" s="97" t="s">
        <v>8</v>
      </c>
      <c r="B37" s="98">
        <f>+B35/(24*B$8)</f>
        <v>0</v>
      </c>
      <c r="C37" s="98">
        <f>+C35/(24*C$8)</f>
        <v>0</v>
      </c>
      <c r="D37" s="98">
        <f>+D35/(24*D$8)</f>
        <v>0</v>
      </c>
      <c r="E37" s="98">
        <f>+E35/(24*E$8)</f>
        <v>0</v>
      </c>
      <c r="F37" s="98">
        <f t="shared" ref="F37:N37" si="10">+F35/(24*F$8)</f>
        <v>0</v>
      </c>
      <c r="G37" s="98">
        <f t="shared" si="10"/>
        <v>2302.5430107526881</v>
      </c>
      <c r="H37" s="98">
        <f t="shared" si="10"/>
        <v>0</v>
      </c>
      <c r="I37" s="98">
        <f t="shared" si="10"/>
        <v>0</v>
      </c>
      <c r="J37" s="98">
        <f t="shared" si="10"/>
        <v>0</v>
      </c>
      <c r="K37" s="98">
        <f t="shared" si="10"/>
        <v>0</v>
      </c>
      <c r="L37" s="98">
        <f t="shared" si="10"/>
        <v>0</v>
      </c>
      <c r="M37" s="98">
        <f t="shared" si="10"/>
        <v>0</v>
      </c>
      <c r="N37" s="37">
        <f t="shared" si="10"/>
        <v>0</v>
      </c>
      <c r="O37" s="6">
        <f>SUM(O35)/(24*O$8)</f>
        <v>195.55844748858448</v>
      </c>
      <c r="P37" s="4">
        <f>O35/(COUNTIF(B35:N35,"&gt;0")*720)</f>
        <v>2379.2944444444443</v>
      </c>
    </row>
    <row r="38" spans="1:16" x14ac:dyDescent="0.25">
      <c r="A38" s="97" t="s">
        <v>9</v>
      </c>
      <c r="B38" s="380">
        <f>VLOOKUP($A$33,TABLA_1[],10,FALSE)</f>
        <v>0</v>
      </c>
      <c r="C38" s="380">
        <f>VLOOKUP($A$33,TABLA_2[],10,FALSE)</f>
        <v>0</v>
      </c>
      <c r="D38" s="380">
        <f>VLOOKUP($A$33,TABLA_3[],10,FALSE)</f>
        <v>0</v>
      </c>
      <c r="E38" s="380">
        <f>VLOOKUP($A$33,TABLA_4[],10,FALSE)</f>
        <v>0</v>
      </c>
      <c r="F38" s="380">
        <f>VLOOKUP($A$33,TABLA_5[],10,FALSE)</f>
        <v>0</v>
      </c>
      <c r="G38" s="380">
        <f>VLOOKUP($A$33,TABLA_6[],10,FALSE)</f>
        <v>0.98499999999999999</v>
      </c>
      <c r="H38" s="380">
        <f>VLOOKUP($A$33,TABLA_7[],10,FALSE)</f>
        <v>0</v>
      </c>
      <c r="I38" s="380">
        <f>VLOOKUP($A$33,TABLA_8[],10,FALSE)</f>
        <v>0</v>
      </c>
      <c r="J38" s="380">
        <f>VLOOKUP($A$33,TABLA_9[],10,FALSE)</f>
        <v>0</v>
      </c>
      <c r="K38" s="380">
        <f>VLOOKUP($A$33,TABLA_10[],10,FALSE)</f>
        <v>0</v>
      </c>
      <c r="L38" s="380">
        <f>VLOOKUP($A$33,TABLA_11[],10,FALSE)</f>
        <v>0</v>
      </c>
      <c r="M38" s="380">
        <f>VLOOKUP($A$33,TABLA_12[],10,FALSE)</f>
        <v>0</v>
      </c>
      <c r="N38" s="380">
        <f>VLOOKUP($A$33,TABLA_13[],10,FALSE)</f>
        <v>0</v>
      </c>
      <c r="O38" s="6"/>
      <c r="P38" s="4">
        <f>COS(ATAN(P36/P34))</f>
        <v>0.98499999999999999</v>
      </c>
    </row>
    <row r="39" spans="1:16" x14ac:dyDescent="0.25">
      <c r="A39" s="97" t="s">
        <v>17</v>
      </c>
      <c r="B39" s="98" t="e">
        <f>+B37/B34</f>
        <v>#DIV/0!</v>
      </c>
      <c r="C39" s="98" t="e">
        <f>+C37/C34</f>
        <v>#DIV/0!</v>
      </c>
      <c r="D39" s="98" t="e">
        <f t="shared" ref="D39:N39" si="11">+D37/D34</f>
        <v>#DIV/0!</v>
      </c>
      <c r="E39" s="98" t="e">
        <f t="shared" si="11"/>
        <v>#DIV/0!</v>
      </c>
      <c r="F39" s="98" t="e">
        <f t="shared" si="11"/>
        <v>#DIV/0!</v>
      </c>
      <c r="G39" s="98">
        <f t="shared" si="11"/>
        <v>0.66547485859904276</v>
      </c>
      <c r="H39" s="98" t="e">
        <f t="shared" si="11"/>
        <v>#DIV/0!</v>
      </c>
      <c r="I39" s="98" t="e">
        <f t="shared" si="11"/>
        <v>#DIV/0!</v>
      </c>
      <c r="J39" s="98" t="e">
        <f t="shared" si="11"/>
        <v>#DIV/0!</v>
      </c>
      <c r="K39" s="98" t="e">
        <f t="shared" si="11"/>
        <v>#DIV/0!</v>
      </c>
      <c r="L39" s="98" t="e">
        <f t="shared" si="11"/>
        <v>#DIV/0!</v>
      </c>
      <c r="M39" s="98" t="e">
        <f t="shared" si="11"/>
        <v>#DIV/0!</v>
      </c>
      <c r="N39" s="4" t="e">
        <f t="shared" si="11"/>
        <v>#DIV/0!</v>
      </c>
      <c r="O39" s="6"/>
      <c r="P39" s="4">
        <f>+P37/P34</f>
        <v>0.6876573538856775</v>
      </c>
    </row>
    <row r="40" spans="1:16" x14ac:dyDescent="0.25">
      <c r="A40" s="48"/>
      <c r="B40" s="85"/>
      <c r="C40" s="85"/>
      <c r="D40" s="85"/>
      <c r="E40" s="85"/>
      <c r="F40" s="85"/>
      <c r="G40" s="48"/>
      <c r="H40" s="48"/>
      <c r="I40" s="48"/>
      <c r="J40" s="48"/>
      <c r="K40" s="48"/>
      <c r="L40" s="48"/>
      <c r="M40" s="48"/>
      <c r="N40" s="48"/>
      <c r="O40" s="48"/>
      <c r="P40" s="48"/>
    </row>
    <row r="41" spans="1:16" x14ac:dyDescent="0.25">
      <c r="A41" s="48"/>
      <c r="B41" s="85"/>
      <c r="C41" s="85"/>
      <c r="D41" s="85"/>
      <c r="E41" s="85"/>
      <c r="F41" s="85"/>
      <c r="G41" s="48"/>
      <c r="H41" s="48"/>
      <c r="I41" s="48"/>
      <c r="J41" s="48"/>
      <c r="K41" s="48"/>
      <c r="L41" s="48"/>
      <c r="M41" s="48"/>
      <c r="N41" s="48"/>
      <c r="O41" s="48"/>
      <c r="P41" s="48"/>
    </row>
    <row r="42" spans="1:16" x14ac:dyDescent="0.25">
      <c r="A42" s="7" t="s">
        <v>10</v>
      </c>
      <c r="B42" s="27"/>
      <c r="C42" s="27"/>
      <c r="D42" s="27"/>
      <c r="E42" s="27"/>
      <c r="F42" s="27"/>
      <c r="G42" s="7"/>
      <c r="H42" s="7"/>
      <c r="I42" s="7"/>
      <c r="J42" s="7"/>
      <c r="K42" s="7"/>
      <c r="L42" s="8"/>
      <c r="M42" s="8"/>
      <c r="N42" s="8"/>
      <c r="O42" s="8"/>
      <c r="P42" s="8"/>
    </row>
    <row r="43" spans="1:16" x14ac:dyDescent="0.25">
      <c r="A43" s="9" t="s">
        <v>11</v>
      </c>
      <c r="B43" s="42">
        <f>B13+B20+B27+B34</f>
        <v>0</v>
      </c>
      <c r="C43" s="42">
        <f>C13+C20+C27+C34</f>
        <v>0</v>
      </c>
      <c r="D43" s="42">
        <f t="shared" ref="D43:M43" si="12">D13+D20+D27+D34</f>
        <v>0</v>
      </c>
      <c r="E43" s="42">
        <f t="shared" si="12"/>
        <v>0</v>
      </c>
      <c r="F43" s="42">
        <f t="shared" si="12"/>
        <v>0</v>
      </c>
      <c r="G43" s="42">
        <f t="shared" si="12"/>
        <v>7702</v>
      </c>
      <c r="H43" s="42">
        <f t="shared" si="12"/>
        <v>0</v>
      </c>
      <c r="I43" s="42">
        <f>I13+I20+I27+I34</f>
        <v>0</v>
      </c>
      <c r="J43" s="42">
        <f t="shared" si="12"/>
        <v>0</v>
      </c>
      <c r="K43" s="42">
        <f t="shared" si="12"/>
        <v>0</v>
      </c>
      <c r="L43" s="42">
        <f t="shared" si="12"/>
        <v>0</v>
      </c>
      <c r="M43" s="42">
        <f t="shared" si="12"/>
        <v>0</v>
      </c>
      <c r="N43" s="42">
        <f>N13+N20+N27+N34</f>
        <v>0</v>
      </c>
      <c r="O43" s="62"/>
      <c r="P43" s="42">
        <f>MAX(B43:N43)</f>
        <v>7702</v>
      </c>
    </row>
    <row r="44" spans="1:16" x14ac:dyDescent="0.25">
      <c r="A44" s="109" t="s">
        <v>7</v>
      </c>
      <c r="B44" s="42">
        <f t="shared" ref="B44:M44" si="13">B14+B21+B28+B35</f>
        <v>0</v>
      </c>
      <c r="C44" s="42">
        <f>C14+C21+C28+C35</f>
        <v>0</v>
      </c>
      <c r="D44" s="42">
        <f t="shared" si="13"/>
        <v>0</v>
      </c>
      <c r="E44" s="42">
        <f t="shared" si="13"/>
        <v>0</v>
      </c>
      <c r="F44" s="42">
        <f t="shared" si="13"/>
        <v>0</v>
      </c>
      <c r="G44" s="42">
        <f t="shared" si="13"/>
        <v>3509871</v>
      </c>
      <c r="H44" s="42">
        <f t="shared" si="13"/>
        <v>0</v>
      </c>
      <c r="I44" s="42">
        <f t="shared" si="13"/>
        <v>0</v>
      </c>
      <c r="J44" s="42">
        <f t="shared" si="13"/>
        <v>0</v>
      </c>
      <c r="K44" s="42">
        <f t="shared" si="13"/>
        <v>0</v>
      </c>
      <c r="L44" s="42">
        <f t="shared" si="13"/>
        <v>0</v>
      </c>
      <c r="M44" s="42">
        <f t="shared" si="13"/>
        <v>0</v>
      </c>
      <c r="N44" s="42">
        <f>N14+N21+N28+N35</f>
        <v>0</v>
      </c>
      <c r="O44" s="62">
        <f>SUM(B44:N44)</f>
        <v>3509871</v>
      </c>
      <c r="P44" s="42"/>
    </row>
    <row r="45" spans="1:16" x14ac:dyDescent="0.25">
      <c r="A45" s="9"/>
      <c r="B45" s="42"/>
      <c r="C45" s="42"/>
      <c r="D45" s="42"/>
      <c r="E45" s="42"/>
      <c r="F45" s="42"/>
      <c r="G45" s="42"/>
      <c r="H45" s="42"/>
      <c r="I45" s="42"/>
      <c r="J45" s="42"/>
      <c r="K45" s="42"/>
      <c r="L45" s="42"/>
      <c r="M45" s="42"/>
      <c r="N45" s="42"/>
      <c r="O45" s="62"/>
      <c r="P45" s="42"/>
    </row>
    <row r="46" spans="1:16" x14ac:dyDescent="0.25">
      <c r="A46" s="272" t="s">
        <v>12</v>
      </c>
      <c r="B46" s="376" t="s">
        <v>497</v>
      </c>
      <c r="C46" s="246"/>
      <c r="D46" s="246"/>
      <c r="E46" s="246"/>
      <c r="F46" s="246"/>
      <c r="G46" s="247"/>
      <c r="H46" s="247"/>
      <c r="I46" s="247"/>
      <c r="J46" s="247"/>
      <c r="K46" s="36"/>
      <c r="L46" s="36"/>
      <c r="M46" s="36"/>
      <c r="N46" s="36"/>
      <c r="O46" s="36"/>
      <c r="P46" s="3"/>
    </row>
    <row r="47" spans="1:16" x14ac:dyDescent="0.25">
      <c r="A47" s="3" t="s">
        <v>6</v>
      </c>
      <c r="B47" s="391">
        <f>VLOOKUP($B$46,BancoTabla_1[],5,FALSE)</f>
        <v>0</v>
      </c>
      <c r="C47" s="391">
        <f>VLOOKUP($B$46,BancoTabla_2[],5,FALSE)</f>
        <v>0</v>
      </c>
      <c r="D47" s="391">
        <f>VLOOKUP($B$46,BancoTabla_3[],5,FALSE)</f>
        <v>0</v>
      </c>
      <c r="E47" s="391">
        <f>VLOOKUP($B$46,BancoTabla_4[],5,FALSE)</f>
        <v>0</v>
      </c>
      <c r="F47" s="391">
        <f>VLOOKUP($B$46,BancoTabla_5[],5,FALSE)</f>
        <v>0</v>
      </c>
      <c r="G47" s="391">
        <f>VLOOKUP($B$46,BancoTabla_6[],5,FALSE)</f>
        <v>7626</v>
      </c>
      <c r="H47" s="391">
        <f>VLOOKUP($B$46,BancoTabla_7[],5,FALSE)</f>
        <v>0</v>
      </c>
      <c r="I47" s="391">
        <f>VLOOKUP($B$46,BancoTabla_8[],5,FALSE)</f>
        <v>0</v>
      </c>
      <c r="J47" s="391">
        <f>VLOOKUP($B$46,BancoTabla_9[],5,FALSE)</f>
        <v>0</v>
      </c>
      <c r="K47" s="391">
        <f>VLOOKUP($B$46,BancoTabla_10[],5,FALSE)</f>
        <v>0</v>
      </c>
      <c r="L47" s="391">
        <f>VLOOKUP($B$46,BancoTabla_11[],5,FALSE)</f>
        <v>0</v>
      </c>
      <c r="M47" s="391">
        <f>VLOOKUP($B$46,BancoTabla_12[],5,FALSE)</f>
        <v>0</v>
      </c>
      <c r="N47" s="391">
        <f>VLOOKUP($B$46,BancoTabla_13[],5,FALSE)</f>
        <v>0</v>
      </c>
      <c r="O47" s="79"/>
      <c r="P47" s="43">
        <f>MAX(B47:N47)</f>
        <v>7626</v>
      </c>
    </row>
    <row r="48" spans="1:16" x14ac:dyDescent="0.25">
      <c r="A48" s="3" t="s">
        <v>7</v>
      </c>
      <c r="B48" s="389">
        <f>VLOOKUP($B$46,BancoTabla_1[],8,FALSE)</f>
        <v>0</v>
      </c>
      <c r="C48" s="389">
        <f>VLOOKUP($B$46,BancoTabla_2[],8,FALSE)</f>
        <v>0</v>
      </c>
      <c r="D48" s="389">
        <f>VLOOKUP($B$46,BancoTabla_3[],8,FALSE)</f>
        <v>0</v>
      </c>
      <c r="E48" s="389">
        <f>VLOOKUP($B$46,BancoTabla_4[],8,FALSE)</f>
        <v>0</v>
      </c>
      <c r="F48" s="389">
        <f>VLOOKUP($B$46,BancoTabla_5[],8,FALSE)</f>
        <v>0</v>
      </c>
      <c r="G48" s="389">
        <f>VLOOKUP($B$46,BancoTabla_6[],8,FALSE)</f>
        <v>-1</v>
      </c>
      <c r="H48" s="389">
        <f>VLOOKUP($B$46,BancoTabla_7[],8,FALSE)</f>
        <v>0</v>
      </c>
      <c r="I48" s="389">
        <f>VLOOKUP($B$46,BancoTabla_8[],8,FALSE)</f>
        <v>0</v>
      </c>
      <c r="J48" s="389">
        <f>VLOOKUP($B$46,BancoTabla_9[],8,FALSE)</f>
        <v>0</v>
      </c>
      <c r="K48" s="389">
        <f>VLOOKUP($B$46,BancoTabla_10[],8,FALSE)</f>
        <v>0</v>
      </c>
      <c r="L48" s="389">
        <f>VLOOKUP($B$46,BancoTabla_11[],8,FALSE)</f>
        <v>0</v>
      </c>
      <c r="M48" s="389">
        <f>VLOOKUP($B$46,BancoTabla_12[],8,FALSE)</f>
        <v>0</v>
      </c>
      <c r="N48" s="389">
        <f>VLOOKUP($B$46,BancoTabla_13[],8,FALSE)</f>
        <v>0</v>
      </c>
      <c r="O48" s="47">
        <f>SUM(B48:N48)</f>
        <v>-1</v>
      </c>
      <c r="P48" s="4" t="e">
        <f>SUM(B48:N48)/(COUNTIF(B48:N48,"&gt;0"))</f>
        <v>#DIV/0!</v>
      </c>
    </row>
    <row r="49" spans="1:16" x14ac:dyDescent="0.25">
      <c r="A49" s="3" t="s">
        <v>16</v>
      </c>
      <c r="B49" s="37" t="e">
        <f t="shared" ref="B49:M49" si="14">+((B47/B51)^2-(B47^2))^(0.5)</f>
        <v>#DIV/0!</v>
      </c>
      <c r="C49" s="37" t="e">
        <f>+((C47/C51)^2-(C47^2))^(0.5)</f>
        <v>#DIV/0!</v>
      </c>
      <c r="D49" s="37" t="e">
        <f t="shared" si="14"/>
        <v>#DIV/0!</v>
      </c>
      <c r="E49" s="37" t="e">
        <f t="shared" si="14"/>
        <v>#DIV/0!</v>
      </c>
      <c r="F49" s="37" t="e">
        <f t="shared" si="14"/>
        <v>#DIV/0!</v>
      </c>
      <c r="G49" s="37">
        <f t="shared" si="14"/>
        <v>107.85601563626054</v>
      </c>
      <c r="H49" s="37" t="e">
        <f t="shared" si="14"/>
        <v>#DIV/0!</v>
      </c>
      <c r="I49" s="37" t="e">
        <f t="shared" si="14"/>
        <v>#DIV/0!</v>
      </c>
      <c r="J49" s="37" t="e">
        <f t="shared" si="14"/>
        <v>#DIV/0!</v>
      </c>
      <c r="K49" s="37" t="e">
        <f t="shared" si="14"/>
        <v>#DIV/0!</v>
      </c>
      <c r="L49" s="37" t="e">
        <f t="shared" si="14"/>
        <v>#DIV/0!</v>
      </c>
      <c r="M49" s="37" t="e">
        <f t="shared" si="14"/>
        <v>#DIV/0!</v>
      </c>
      <c r="N49" s="37" t="e">
        <f>+((N47/N51)^2-(N47^2))^(0.5)</f>
        <v>#DIV/0!</v>
      </c>
      <c r="O49" s="37"/>
      <c r="P49" s="4">
        <f>HLOOKUP(P47,B47:N49,3,FALSE)</f>
        <v>107.85601563626054</v>
      </c>
    </row>
    <row r="50" spans="1:16" x14ac:dyDescent="0.25">
      <c r="A50" s="3" t="s">
        <v>8</v>
      </c>
      <c r="B50" s="37">
        <f>+B48/(24*B$8)</f>
        <v>0</v>
      </c>
      <c r="C50" s="37">
        <f>+C48/(24*C$8)</f>
        <v>0</v>
      </c>
      <c r="D50" s="37">
        <f t="shared" ref="D50:M50" si="15">+D48/(24*D$8)</f>
        <v>0</v>
      </c>
      <c r="E50" s="37">
        <f t="shared" si="15"/>
        <v>0</v>
      </c>
      <c r="F50" s="37">
        <f t="shared" si="15"/>
        <v>0</v>
      </c>
      <c r="G50" s="37">
        <f t="shared" si="15"/>
        <v>-1.3440860215053765E-3</v>
      </c>
      <c r="H50" s="37">
        <f t="shared" si="15"/>
        <v>0</v>
      </c>
      <c r="I50" s="37">
        <f t="shared" si="15"/>
        <v>0</v>
      </c>
      <c r="J50" s="37">
        <f t="shared" si="15"/>
        <v>0</v>
      </c>
      <c r="K50" s="37">
        <f t="shared" si="15"/>
        <v>0</v>
      </c>
      <c r="L50" s="37">
        <f t="shared" si="15"/>
        <v>0</v>
      </c>
      <c r="M50" s="37">
        <f t="shared" si="15"/>
        <v>0</v>
      </c>
      <c r="N50" s="37">
        <f>+N48/(24*N$8)</f>
        <v>0</v>
      </c>
      <c r="O50" s="6">
        <f>SUM(O48)/(24*O$8)</f>
        <v>-1.1415525114155251E-4</v>
      </c>
      <c r="P50" s="4" t="e">
        <f>O48/(COUNTIF(B48:N48,"&gt;0")*720)</f>
        <v>#DIV/0!</v>
      </c>
    </row>
    <row r="51" spans="1:16" x14ac:dyDescent="0.25">
      <c r="A51" s="3" t="s">
        <v>9</v>
      </c>
      <c r="B51" s="392">
        <f>VLOOKUP($B$46,BancoTabla_1[],10,FALSE)</f>
        <v>0</v>
      </c>
      <c r="C51" s="392">
        <f>VLOOKUP($B$46,BancoTabla_2[],10,FALSE)</f>
        <v>0</v>
      </c>
      <c r="D51" s="392">
        <f>VLOOKUP($B$46,BancoTabla_3[],10,FALSE)</f>
        <v>0</v>
      </c>
      <c r="E51" s="392">
        <f>VLOOKUP($B$46,BancoTabla_4[],10,FALSE)</f>
        <v>0</v>
      </c>
      <c r="F51" s="392">
        <f>VLOOKUP($B$46,BancoTabla_5[],10,FALSE)</f>
        <v>0</v>
      </c>
      <c r="G51" s="392">
        <f>VLOOKUP($B$46,BancoTabla_6[],10,FALSE)</f>
        <v>0.99990000000000001</v>
      </c>
      <c r="H51" s="392">
        <f>VLOOKUP($B$46,BancoTabla_7[],10,FALSE)</f>
        <v>0</v>
      </c>
      <c r="I51" s="392">
        <f>VLOOKUP($B$46,BancoTabla_8[],10,FALSE)</f>
        <v>0</v>
      </c>
      <c r="J51" s="392">
        <f>VLOOKUP($B$46,BancoTabla_9[],10,FALSE)</f>
        <v>0</v>
      </c>
      <c r="K51" s="392">
        <f>VLOOKUP($B$46,BancoTabla_10[],10,FALSE)</f>
        <v>0</v>
      </c>
      <c r="L51" s="392">
        <f>VLOOKUP($B$46,BancoTabla_11[],10,FALSE)</f>
        <v>0</v>
      </c>
      <c r="M51" s="392">
        <f>VLOOKUP($B$46,BancoTabla_12[],10,FALSE)</f>
        <v>0</v>
      </c>
      <c r="N51" s="392">
        <f>VLOOKUP($B$46,BancoTabla_13[],10,FALSE)</f>
        <v>0</v>
      </c>
      <c r="O51" s="6"/>
      <c r="P51" s="4">
        <f>COS(ATAN(P49/P47))</f>
        <v>0.99990000000000001</v>
      </c>
    </row>
    <row r="52" spans="1:16" x14ac:dyDescent="0.25">
      <c r="A52" s="3" t="s">
        <v>17</v>
      </c>
      <c r="B52" s="37" t="e">
        <f>+B50/B47</f>
        <v>#DIV/0!</v>
      </c>
      <c r="C52" s="37" t="e">
        <f>+C50/C47</f>
        <v>#DIV/0!</v>
      </c>
      <c r="D52" s="37" t="e">
        <f t="shared" ref="D52:M52" si="16">+D50/D47</f>
        <v>#DIV/0!</v>
      </c>
      <c r="E52" s="37" t="e">
        <f t="shared" si="16"/>
        <v>#DIV/0!</v>
      </c>
      <c r="F52" s="37" t="e">
        <f t="shared" si="16"/>
        <v>#DIV/0!</v>
      </c>
      <c r="G52" s="37">
        <f t="shared" si="16"/>
        <v>-1.7625046177620986E-7</v>
      </c>
      <c r="H52" s="37" t="e">
        <f t="shared" si="16"/>
        <v>#DIV/0!</v>
      </c>
      <c r="I52" s="37" t="e">
        <f t="shared" si="16"/>
        <v>#DIV/0!</v>
      </c>
      <c r="J52" s="37" t="e">
        <f t="shared" si="16"/>
        <v>#DIV/0!</v>
      </c>
      <c r="K52" s="37" t="e">
        <f t="shared" si="16"/>
        <v>#DIV/0!</v>
      </c>
      <c r="L52" s="37" t="e">
        <f t="shared" si="16"/>
        <v>#DIV/0!</v>
      </c>
      <c r="M52" s="37" t="e">
        <f t="shared" si="16"/>
        <v>#DIV/0!</v>
      </c>
      <c r="N52" s="37" t="e">
        <f>+N50/N47</f>
        <v>#DIV/0!</v>
      </c>
      <c r="O52" s="6"/>
      <c r="P52" s="4" t="e">
        <f>+P50/P47</f>
        <v>#DIV/0!</v>
      </c>
    </row>
    <row r="53" spans="1:16" x14ac:dyDescent="0.25">
      <c r="A53" s="3" t="s">
        <v>18</v>
      </c>
      <c r="B53" s="37" t="e">
        <f t="shared" ref="B53:M53" si="17">+B43/B47</f>
        <v>#DIV/0!</v>
      </c>
      <c r="C53" s="37" t="e">
        <f>+C43/C47</f>
        <v>#DIV/0!</v>
      </c>
      <c r="D53" s="37" t="e">
        <f t="shared" si="17"/>
        <v>#DIV/0!</v>
      </c>
      <c r="E53" s="37" t="e">
        <f t="shared" si="17"/>
        <v>#DIV/0!</v>
      </c>
      <c r="F53" s="37" t="e">
        <f t="shared" si="17"/>
        <v>#DIV/0!</v>
      </c>
      <c r="G53" s="37">
        <f t="shared" si="17"/>
        <v>1.009965906110674</v>
      </c>
      <c r="H53" s="37" t="e">
        <f t="shared" si="17"/>
        <v>#DIV/0!</v>
      </c>
      <c r="I53" s="37" t="e">
        <f t="shared" si="17"/>
        <v>#DIV/0!</v>
      </c>
      <c r="J53" s="37" t="e">
        <f t="shared" si="17"/>
        <v>#DIV/0!</v>
      </c>
      <c r="K53" s="37" t="e">
        <f t="shared" si="17"/>
        <v>#DIV/0!</v>
      </c>
      <c r="L53" s="37" t="e">
        <f t="shared" si="17"/>
        <v>#DIV/0!</v>
      </c>
      <c r="M53" s="37" t="e">
        <f t="shared" si="17"/>
        <v>#DIV/0!</v>
      </c>
      <c r="N53" s="37" t="e">
        <f>+N43/N47</f>
        <v>#DIV/0!</v>
      </c>
      <c r="O53" s="6"/>
      <c r="P53" s="4">
        <f>+P43/P47</f>
        <v>1.009965906110674</v>
      </c>
    </row>
    <row r="54" spans="1:16" x14ac:dyDescent="0.25">
      <c r="A54" s="3" t="s">
        <v>19</v>
      </c>
      <c r="B54" s="37">
        <f t="shared" ref="B54:N54" si="18">+B47/$B$55</f>
        <v>0</v>
      </c>
      <c r="C54" s="37">
        <f>+C47/$B$55</f>
        <v>0</v>
      </c>
      <c r="D54" s="37">
        <f t="shared" si="18"/>
        <v>0</v>
      </c>
      <c r="E54" s="37">
        <f t="shared" si="18"/>
        <v>0</v>
      </c>
      <c r="F54" s="37">
        <f t="shared" si="18"/>
        <v>0</v>
      </c>
      <c r="G54" s="37">
        <f t="shared" si="18"/>
        <v>0.81352135213521348</v>
      </c>
      <c r="H54" s="37">
        <f t="shared" si="18"/>
        <v>0</v>
      </c>
      <c r="I54" s="37">
        <f t="shared" si="18"/>
        <v>0</v>
      </c>
      <c r="J54" s="37">
        <f t="shared" si="18"/>
        <v>0</v>
      </c>
      <c r="K54" s="37">
        <f t="shared" si="18"/>
        <v>0</v>
      </c>
      <c r="L54" s="37">
        <f t="shared" si="18"/>
        <v>0</v>
      </c>
      <c r="M54" s="37">
        <f t="shared" si="18"/>
        <v>0</v>
      </c>
      <c r="N54" s="37">
        <f t="shared" si="18"/>
        <v>0</v>
      </c>
      <c r="O54" s="6"/>
      <c r="P54" s="4">
        <f>+P47/B55</f>
        <v>0.81352135213521348</v>
      </c>
    </row>
    <row r="55" spans="1:16" x14ac:dyDescent="0.25">
      <c r="A55" s="3" t="s">
        <v>20</v>
      </c>
      <c r="B55" s="37">
        <f>9.375*P51*1000</f>
        <v>9374.0625</v>
      </c>
      <c r="C55" s="37"/>
      <c r="D55" s="37"/>
      <c r="E55" s="37"/>
      <c r="F55" s="37"/>
      <c r="G55" s="37"/>
      <c r="H55" s="37"/>
      <c r="I55" s="37"/>
      <c r="J55" s="37"/>
      <c r="K55" s="37"/>
      <c r="L55" s="37"/>
      <c r="M55" s="37"/>
      <c r="N55" s="37"/>
      <c r="O55" s="37"/>
      <c r="P55" s="4"/>
    </row>
    <row r="56" spans="1:16" x14ac:dyDescent="0.25">
      <c r="A56" s="104"/>
      <c r="B56" s="237">
        <f>B47/$B$55</f>
        <v>0</v>
      </c>
      <c r="C56" s="237">
        <f>C47/$B$55</f>
        <v>0</v>
      </c>
      <c r="D56" s="237">
        <f t="shared" ref="D56:N56" si="19">D47/$B$55</f>
        <v>0</v>
      </c>
      <c r="E56" s="237">
        <f t="shared" si="19"/>
        <v>0</v>
      </c>
      <c r="F56" s="237">
        <f t="shared" si="19"/>
        <v>0</v>
      </c>
      <c r="G56" s="237">
        <f t="shared" si="19"/>
        <v>0.81352135213521348</v>
      </c>
      <c r="H56" s="237">
        <f t="shared" si="19"/>
        <v>0</v>
      </c>
      <c r="I56" s="237">
        <f t="shared" si="19"/>
        <v>0</v>
      </c>
      <c r="J56" s="237">
        <f t="shared" si="19"/>
        <v>0</v>
      </c>
      <c r="K56" s="237">
        <f t="shared" si="19"/>
        <v>0</v>
      </c>
      <c r="L56" s="237">
        <f t="shared" si="19"/>
        <v>0</v>
      </c>
      <c r="M56" s="237">
        <f t="shared" si="19"/>
        <v>0</v>
      </c>
      <c r="N56" s="237">
        <f t="shared" si="19"/>
        <v>0</v>
      </c>
      <c r="O56" s="106"/>
      <c r="P56" s="105"/>
    </row>
    <row r="57" spans="1:16" x14ac:dyDescent="0.25"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</row>
    <row r="58" spans="1:16" x14ac:dyDescent="0.25">
      <c r="A58" s="16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7"/>
      <c r="P58" s="16"/>
    </row>
    <row r="59" spans="1:16" x14ac:dyDescent="0.25">
      <c r="A59" s="15" t="s">
        <v>14</v>
      </c>
      <c r="B59" s="57"/>
      <c r="C59" s="57"/>
      <c r="D59" s="57"/>
      <c r="E59" s="57"/>
      <c r="F59" s="57"/>
      <c r="G59" s="57"/>
      <c r="H59" s="57"/>
      <c r="I59" s="57"/>
      <c r="J59" s="57"/>
      <c r="K59" s="57"/>
      <c r="L59" s="57"/>
      <c r="M59" s="57"/>
      <c r="N59" s="57"/>
      <c r="O59" s="57"/>
      <c r="P59" s="16"/>
    </row>
    <row r="60" spans="1:16" x14ac:dyDescent="0.25">
      <c r="A60" s="16" t="s">
        <v>11</v>
      </c>
      <c r="B60" s="63">
        <f t="shared" ref="B60:N60" si="20">+B47</f>
        <v>0</v>
      </c>
      <c r="C60" s="63">
        <f>+C47</f>
        <v>0</v>
      </c>
      <c r="D60" s="63">
        <f t="shared" si="20"/>
        <v>0</v>
      </c>
      <c r="E60" s="63">
        <f t="shared" si="20"/>
        <v>0</v>
      </c>
      <c r="F60" s="63">
        <f t="shared" si="20"/>
        <v>0</v>
      </c>
      <c r="G60" s="63">
        <f t="shared" si="20"/>
        <v>7626</v>
      </c>
      <c r="H60" s="63">
        <f t="shared" si="20"/>
        <v>0</v>
      </c>
      <c r="I60" s="63">
        <f t="shared" si="20"/>
        <v>0</v>
      </c>
      <c r="J60" s="63">
        <f t="shared" si="20"/>
        <v>0</v>
      </c>
      <c r="K60" s="63">
        <f t="shared" si="20"/>
        <v>0</v>
      </c>
      <c r="L60" s="63">
        <f t="shared" si="20"/>
        <v>0</v>
      </c>
      <c r="M60" s="63">
        <f t="shared" si="20"/>
        <v>0</v>
      </c>
      <c r="N60" s="63">
        <f t="shared" si="20"/>
        <v>0</v>
      </c>
      <c r="O60" s="63"/>
      <c r="P60" s="45">
        <f>MAX(B60:N60)</f>
        <v>7626</v>
      </c>
    </row>
    <row r="61" spans="1:16" x14ac:dyDescent="0.25">
      <c r="A61" s="16" t="s">
        <v>7</v>
      </c>
      <c r="B61" s="63">
        <f t="shared" ref="B61:N61" si="21">+B48</f>
        <v>0</v>
      </c>
      <c r="C61" s="63">
        <f>+C48</f>
        <v>0</v>
      </c>
      <c r="D61" s="63">
        <f t="shared" si="21"/>
        <v>0</v>
      </c>
      <c r="E61" s="63">
        <f t="shared" si="21"/>
        <v>0</v>
      </c>
      <c r="F61" s="63">
        <f t="shared" si="21"/>
        <v>0</v>
      </c>
      <c r="G61" s="63">
        <f t="shared" si="21"/>
        <v>-1</v>
      </c>
      <c r="H61" s="63">
        <f t="shared" si="21"/>
        <v>0</v>
      </c>
      <c r="I61" s="63">
        <f t="shared" si="21"/>
        <v>0</v>
      </c>
      <c r="J61" s="63">
        <f t="shared" si="21"/>
        <v>0</v>
      </c>
      <c r="K61" s="63">
        <f t="shared" si="21"/>
        <v>0</v>
      </c>
      <c r="L61" s="63">
        <f t="shared" si="21"/>
        <v>0</v>
      </c>
      <c r="M61" s="63">
        <f t="shared" si="21"/>
        <v>0</v>
      </c>
      <c r="N61" s="63">
        <f t="shared" si="21"/>
        <v>0</v>
      </c>
      <c r="O61" s="45">
        <f>SUM(B61:N61)</f>
        <v>-1</v>
      </c>
      <c r="P61" s="45"/>
    </row>
    <row r="62" spans="1:16" x14ac:dyDescent="0.25"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</row>
    <row r="63" spans="1:16" x14ac:dyDescent="0.25"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</row>
    <row r="64" spans="1:16" x14ac:dyDescent="0.25">
      <c r="A64" s="12" t="s">
        <v>21</v>
      </c>
      <c r="B64" s="70"/>
      <c r="C64" s="70"/>
      <c r="D64" s="70"/>
      <c r="E64" s="70"/>
      <c r="F64" s="70"/>
      <c r="G64" s="71"/>
      <c r="H64" s="71"/>
      <c r="I64" s="71"/>
      <c r="J64" s="71"/>
      <c r="K64" s="67"/>
      <c r="L64" s="67"/>
      <c r="M64" s="67"/>
      <c r="N64" s="67"/>
      <c r="O64" s="13"/>
      <c r="P64" s="13"/>
    </row>
    <row r="65" spans="1:16" x14ac:dyDescent="0.25">
      <c r="A65" s="99" t="s">
        <v>6</v>
      </c>
      <c r="B65" s="101">
        <f>+B60</f>
        <v>0</v>
      </c>
      <c r="C65" s="101">
        <f>+C60</f>
        <v>0</v>
      </c>
      <c r="D65" s="101">
        <f t="shared" ref="D65:M65" si="22">+D60</f>
        <v>0</v>
      </c>
      <c r="E65" s="101">
        <f t="shared" si="22"/>
        <v>0</v>
      </c>
      <c r="F65" s="101">
        <f t="shared" si="22"/>
        <v>0</v>
      </c>
      <c r="G65" s="101">
        <f t="shared" si="22"/>
        <v>7626</v>
      </c>
      <c r="H65" s="101">
        <f t="shared" si="22"/>
        <v>0</v>
      </c>
      <c r="I65" s="101">
        <f t="shared" si="22"/>
        <v>0</v>
      </c>
      <c r="J65" s="101">
        <f t="shared" si="22"/>
        <v>0</v>
      </c>
      <c r="K65" s="101">
        <f t="shared" si="22"/>
        <v>0</v>
      </c>
      <c r="L65" s="101">
        <f t="shared" si="22"/>
        <v>0</v>
      </c>
      <c r="M65" s="101">
        <f t="shared" si="22"/>
        <v>0</v>
      </c>
      <c r="N65" s="101">
        <f>+N60</f>
        <v>0</v>
      </c>
      <c r="O65" s="101"/>
      <c r="P65" s="100">
        <f>MAX(B65:N65)</f>
        <v>7626</v>
      </c>
    </row>
    <row r="66" spans="1:16" x14ac:dyDescent="0.25">
      <c r="A66" s="103"/>
      <c r="B66" s="103" t="e">
        <f>+B60/B65</f>
        <v>#DIV/0!</v>
      </c>
      <c r="C66" s="103" t="e">
        <f>+C60/C65</f>
        <v>#DIV/0!</v>
      </c>
      <c r="D66" s="103" t="e">
        <f>+D60/D65</f>
        <v>#DIV/0!</v>
      </c>
      <c r="E66" s="103" t="e">
        <f>+E60/E65</f>
        <v>#DIV/0!</v>
      </c>
      <c r="F66" s="103" t="e">
        <f t="shared" ref="F66:M66" si="23">+F60/F65</f>
        <v>#DIV/0!</v>
      </c>
      <c r="G66" s="103">
        <f t="shared" si="23"/>
        <v>1</v>
      </c>
      <c r="H66" s="103" t="e">
        <f t="shared" si="23"/>
        <v>#DIV/0!</v>
      </c>
      <c r="I66" s="103" t="e">
        <f t="shared" si="23"/>
        <v>#DIV/0!</v>
      </c>
      <c r="J66" s="103" t="e">
        <f t="shared" si="23"/>
        <v>#DIV/0!</v>
      </c>
      <c r="K66" s="103" t="e">
        <f t="shared" si="23"/>
        <v>#DIV/0!</v>
      </c>
      <c r="L66" s="103" t="e">
        <f>+L60/L65</f>
        <v>#DIV/0!</v>
      </c>
      <c r="M66" s="103" t="e">
        <f t="shared" si="23"/>
        <v>#DIV/0!</v>
      </c>
      <c r="N66" s="103" t="e">
        <f>+N60/N65</f>
        <v>#DIV/0!</v>
      </c>
      <c r="O66" s="5"/>
      <c r="P66" s="103">
        <f>+P60/P65</f>
        <v>1</v>
      </c>
    </row>
    <row r="69" spans="1:16" x14ac:dyDescent="0.25">
      <c r="G69" s="61" t="s">
        <v>160</v>
      </c>
      <c r="H69" s="145">
        <f>P13+P20+P27+P34</f>
        <v>7702</v>
      </c>
    </row>
    <row r="70" spans="1:16" x14ac:dyDescent="0.25">
      <c r="G70" s="61" t="s">
        <v>161</v>
      </c>
      <c r="H70" s="145">
        <f>P47</f>
        <v>7626</v>
      </c>
    </row>
    <row r="71" spans="1:16" x14ac:dyDescent="0.25">
      <c r="G71" s="146" t="s">
        <v>162</v>
      </c>
      <c r="H71" s="147">
        <f>H69/H70</f>
        <v>1.009965906110674</v>
      </c>
    </row>
    <row r="73" spans="1:16" x14ac:dyDescent="0.25">
      <c r="A73" s="271" t="s">
        <v>259</v>
      </c>
    </row>
    <row r="104" spans="1:1" x14ac:dyDescent="0.25">
      <c r="A104" s="271" t="s">
        <v>260</v>
      </c>
    </row>
    <row r="135" spans="1:1" x14ac:dyDescent="0.25">
      <c r="A135" s="271" t="s">
        <v>261</v>
      </c>
    </row>
    <row r="166" spans="1:1" x14ac:dyDescent="0.25">
      <c r="A166" s="271" t="s">
        <v>262</v>
      </c>
    </row>
    <row r="197" spans="1:1" x14ac:dyDescent="0.25">
      <c r="A197" s="271" t="s">
        <v>431</v>
      </c>
    </row>
  </sheetData>
  <mergeCells count="25">
    <mergeCell ref="AO2:AO3"/>
    <mergeCell ref="M9:M10"/>
    <mergeCell ref="O9:O10"/>
    <mergeCell ref="P9:P10"/>
    <mergeCell ref="N9:N10"/>
    <mergeCell ref="E2:M2"/>
    <mergeCell ref="AM2:AM3"/>
    <mergeCell ref="E4:M4"/>
    <mergeCell ref="E5:M5"/>
    <mergeCell ref="E6:M6"/>
    <mergeCell ref="AN2:AN3"/>
    <mergeCell ref="E3:M3"/>
    <mergeCell ref="I9:I10"/>
    <mergeCell ref="AL2:AL3"/>
    <mergeCell ref="G9:G10"/>
    <mergeCell ref="J9:J10"/>
    <mergeCell ref="A9:A10"/>
    <mergeCell ref="B9:B10"/>
    <mergeCell ref="D9:D10"/>
    <mergeCell ref="E9:E10"/>
    <mergeCell ref="L9:L10"/>
    <mergeCell ref="F9:F10"/>
    <mergeCell ref="C9:C10"/>
    <mergeCell ref="K9:K10"/>
    <mergeCell ref="H9:H10"/>
  </mergeCells>
  <phoneticPr fontId="17" type="noConversion"/>
  <printOptions horizontalCentered="1" verticalCentered="1"/>
  <pageMargins left="0.19685039370078741" right="0.19685039370078741" top="0.19685039370078741" bottom="0.19685039370078741" header="0" footer="0"/>
  <pageSetup scale="70" orientation="landscape" horizontalDpi="300" verticalDpi="300" r:id="rId1"/>
  <headerFooter alignWithMargins="0"/>
  <drawing r:id="rId2"/>
  <legacy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Hoja16">
    <tabColor indexed="52"/>
  </sheetPr>
  <dimension ref="A2:P61"/>
  <sheetViews>
    <sheetView topLeftCell="A28" zoomScale="130" zoomScaleNormal="130" workbookViewId="0">
      <selection activeCell="G33" sqref="G33"/>
    </sheetView>
  </sheetViews>
  <sheetFormatPr baseColWidth="10" defaultRowHeight="13.2" x14ac:dyDescent="0.25"/>
  <cols>
    <col min="1" max="16" width="15.6640625" customWidth="1"/>
  </cols>
  <sheetData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60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462</v>
      </c>
      <c r="B12" s="65"/>
      <c r="C12" s="65"/>
      <c r="D12" s="65"/>
      <c r="E12" s="65"/>
      <c r="F12" s="65"/>
      <c r="G12" s="66"/>
      <c r="H12" s="66"/>
      <c r="I12" s="66"/>
      <c r="J12" s="66"/>
      <c r="K12" s="36"/>
      <c r="L12" s="36"/>
      <c r="M12" s="36"/>
      <c r="N12" s="36"/>
      <c r="O12" s="36"/>
      <c r="P12" s="36"/>
    </row>
    <row r="13" spans="1:16" x14ac:dyDescent="0.25">
      <c r="A13" s="97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-1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3">
        <f>MAX(B13:N13)</f>
        <v>0</v>
      </c>
    </row>
    <row r="14" spans="1:16" x14ac:dyDescent="0.25">
      <c r="A14" s="97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-1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-1</v>
      </c>
      <c r="P14" s="43" t="e">
        <f>SUM(B14:N14)/(COUNTIF(B14:N14,"&gt;0"))</f>
        <v>#DIV/0!</v>
      </c>
    </row>
    <row r="15" spans="1:16" x14ac:dyDescent="0.25">
      <c r="A15" s="97" t="s">
        <v>16</v>
      </c>
      <c r="B15" s="98" t="e">
        <f>+((B13/B17)^2-(B13^2))^(0.5)</f>
        <v>#DIV/0!</v>
      </c>
      <c r="C15" s="98" t="e">
        <f>+((C13/C17)^2-(C13^2))^(0.5)</f>
        <v>#DIV/0!</v>
      </c>
      <c r="D15" s="98" t="e">
        <f t="shared" ref="D15:N15" si="0">+((D13/D17)^2-(D13^2))^(0.5)</f>
        <v>#DIV/0!</v>
      </c>
      <c r="E15" s="98" t="e">
        <f t="shared" si="0"/>
        <v>#DIV/0!</v>
      </c>
      <c r="F15" s="98" t="e">
        <f t="shared" si="0"/>
        <v>#DIV/0!</v>
      </c>
      <c r="G15" s="98">
        <f t="shared" si="0"/>
        <v>0</v>
      </c>
      <c r="H15" s="98" t="e">
        <f t="shared" si="0"/>
        <v>#DIV/0!</v>
      </c>
      <c r="I15" s="37" t="e">
        <f t="shared" si="0"/>
        <v>#DIV/0!</v>
      </c>
      <c r="J15" s="98" t="e">
        <f t="shared" si="0"/>
        <v>#DIV/0!</v>
      </c>
      <c r="K15" s="98" t="e">
        <f t="shared" si="0"/>
        <v>#DIV/0!</v>
      </c>
      <c r="L15" s="98" t="e">
        <f t="shared" si="0"/>
        <v>#DIV/0!</v>
      </c>
      <c r="M15" s="98" t="e">
        <f t="shared" si="0"/>
        <v>#DIV/0!</v>
      </c>
      <c r="N15" s="37" t="e">
        <f t="shared" si="0"/>
        <v>#DIV/0!</v>
      </c>
      <c r="O15" s="37"/>
      <c r="P15" s="4" t="e">
        <f>HLOOKUP(P13,B13:N15,3,FALSE)</f>
        <v>#DIV/0!</v>
      </c>
    </row>
    <row r="16" spans="1:16" x14ac:dyDescent="0.25">
      <c r="A16" s="97" t="s">
        <v>8</v>
      </c>
      <c r="B16" s="98">
        <f>+B14/(24*B$8)</f>
        <v>0</v>
      </c>
      <c r="C16" s="98">
        <f>+C14/(24*C$8)</f>
        <v>0</v>
      </c>
      <c r="D16" s="98">
        <f>+D14/(24*D$8)</f>
        <v>0</v>
      </c>
      <c r="E16" s="98">
        <f>+E14/(24*E$8)</f>
        <v>0</v>
      </c>
      <c r="F16" s="98">
        <f t="shared" ref="F16:N16" si="1">+F14/(24*F$8)</f>
        <v>0</v>
      </c>
      <c r="G16" s="98">
        <f t="shared" si="1"/>
        <v>-1.3440860215053765E-3</v>
      </c>
      <c r="H16" s="98">
        <f t="shared" si="1"/>
        <v>0</v>
      </c>
      <c r="I16" s="37">
        <f t="shared" si="1"/>
        <v>0</v>
      </c>
      <c r="J16" s="98">
        <f t="shared" si="1"/>
        <v>0</v>
      </c>
      <c r="K16" s="98">
        <f t="shared" si="1"/>
        <v>0</v>
      </c>
      <c r="L16" s="98">
        <f t="shared" si="1"/>
        <v>0</v>
      </c>
      <c r="M16" s="98">
        <f t="shared" si="1"/>
        <v>0</v>
      </c>
      <c r="N16" s="37">
        <f t="shared" si="1"/>
        <v>0</v>
      </c>
      <c r="O16" s="6">
        <f>SUM(O14)/(24*O$8)</f>
        <v>-1.1415525114155251E-4</v>
      </c>
      <c r="P16" s="4" t="e">
        <f>O14/(COUNTIF(B14:N14,"&gt;0")*720)</f>
        <v>#DIV/0!</v>
      </c>
    </row>
    <row r="17" spans="1:16" x14ac:dyDescent="0.25">
      <c r="A17" s="97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-1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 t="e">
        <f>COS(ATAN(P15/P13))</f>
        <v>#DIV/0!</v>
      </c>
    </row>
    <row r="18" spans="1:16" x14ac:dyDescent="0.25">
      <c r="A18" s="97" t="s">
        <v>17</v>
      </c>
      <c r="B18" s="98" t="e">
        <f t="shared" ref="B18:N18" si="2">+B16/B13</f>
        <v>#DIV/0!</v>
      </c>
      <c r="C18" s="98" t="e">
        <f>+C16/C13</f>
        <v>#DIV/0!</v>
      </c>
      <c r="D18" s="98" t="e">
        <f t="shared" si="2"/>
        <v>#DIV/0!</v>
      </c>
      <c r="E18" s="98" t="e">
        <f t="shared" si="2"/>
        <v>#DIV/0!</v>
      </c>
      <c r="F18" s="98" t="e">
        <f t="shared" si="2"/>
        <v>#DIV/0!</v>
      </c>
      <c r="G18" s="98">
        <f t="shared" si="2"/>
        <v>1.3440860215053765E-3</v>
      </c>
      <c r="H18" s="98" t="e">
        <f t="shared" si="2"/>
        <v>#DIV/0!</v>
      </c>
      <c r="I18" s="37" t="e">
        <f t="shared" si="2"/>
        <v>#DIV/0!</v>
      </c>
      <c r="J18" s="98" t="e">
        <f t="shared" si="2"/>
        <v>#DIV/0!</v>
      </c>
      <c r="K18" s="98" t="e">
        <f t="shared" si="2"/>
        <v>#DIV/0!</v>
      </c>
      <c r="L18" s="98" t="e">
        <f t="shared" si="2"/>
        <v>#DIV/0!</v>
      </c>
      <c r="M18" s="98" t="e">
        <f t="shared" si="2"/>
        <v>#DIV/0!</v>
      </c>
      <c r="N18" s="37" t="e">
        <f t="shared" si="2"/>
        <v>#DIV/0!</v>
      </c>
      <c r="O18" s="6"/>
      <c r="P18" s="4" t="e">
        <f>+P16/P13</f>
        <v>#DIV/0!</v>
      </c>
    </row>
    <row r="19" spans="1:16" s="24" customFormat="1" x14ac:dyDescent="0.25">
      <c r="A19" s="271" t="s">
        <v>463</v>
      </c>
      <c r="B19" s="65"/>
      <c r="C19" s="65"/>
      <c r="D19" s="65"/>
      <c r="E19" s="65"/>
      <c r="F19" s="65"/>
      <c r="G19" s="66"/>
      <c r="H19" s="66"/>
      <c r="I19" s="66"/>
      <c r="J19" s="66"/>
      <c r="K19" s="36"/>
      <c r="L19" s="36"/>
      <c r="M19" s="36"/>
      <c r="N19" s="36"/>
      <c r="O19" s="36"/>
      <c r="P19" s="36"/>
    </row>
    <row r="20" spans="1:16" x14ac:dyDescent="0.25">
      <c r="A20" s="97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-1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0</v>
      </c>
    </row>
    <row r="21" spans="1:16" x14ac:dyDescent="0.25">
      <c r="A21" s="97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-1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-1</v>
      </c>
      <c r="P21" s="43" t="e">
        <f>SUM(B21:N21)/(COUNTIF(B21:N21,"&gt;0"))</f>
        <v>#DIV/0!</v>
      </c>
    </row>
    <row r="22" spans="1:16" x14ac:dyDescent="0.25">
      <c r="A22" s="97" t="s">
        <v>16</v>
      </c>
      <c r="B22" s="98" t="e">
        <f t="shared" ref="B22:N22" si="3">+((B20/B24)^2-(B20^2))^(0.5)</f>
        <v>#DIV/0!</v>
      </c>
      <c r="C22" s="98" t="e">
        <f>+((C20/C24)^2-(C20^2))^(0.5)</f>
        <v>#DIV/0!</v>
      </c>
      <c r="D22" s="98" t="e">
        <f t="shared" si="3"/>
        <v>#DIV/0!</v>
      </c>
      <c r="E22" s="98" t="e">
        <f t="shared" si="3"/>
        <v>#DIV/0!</v>
      </c>
      <c r="F22" s="98" t="e">
        <f t="shared" si="3"/>
        <v>#DIV/0!</v>
      </c>
      <c r="G22" s="98">
        <f t="shared" si="3"/>
        <v>0</v>
      </c>
      <c r="H22" s="98" t="e">
        <f t="shared" si="3"/>
        <v>#DIV/0!</v>
      </c>
      <c r="I22" s="37" t="e">
        <f t="shared" si="3"/>
        <v>#DIV/0!</v>
      </c>
      <c r="J22" s="98" t="e">
        <f t="shared" si="3"/>
        <v>#DIV/0!</v>
      </c>
      <c r="K22" s="98" t="e">
        <f t="shared" si="3"/>
        <v>#DIV/0!</v>
      </c>
      <c r="L22" s="98" t="e">
        <f t="shared" si="3"/>
        <v>#DIV/0!</v>
      </c>
      <c r="M22" s="98" t="e">
        <f t="shared" si="3"/>
        <v>#DIV/0!</v>
      </c>
      <c r="N22" s="37" t="e">
        <f t="shared" si="3"/>
        <v>#DIV/0!</v>
      </c>
      <c r="O22" s="37"/>
      <c r="P22" s="4" t="e">
        <f>HLOOKUP(P20,B20:N22,3,FALSE)</f>
        <v>#DIV/0!</v>
      </c>
    </row>
    <row r="23" spans="1:16" x14ac:dyDescent="0.25">
      <c r="A23" s="97" t="s">
        <v>8</v>
      </c>
      <c r="B23" s="98">
        <f>+B21/(24*B$8)</f>
        <v>0</v>
      </c>
      <c r="C23" s="98">
        <f>+C21/(24*C$8)</f>
        <v>0</v>
      </c>
      <c r="D23" s="98">
        <f>+D21/(24*D$8)</f>
        <v>0</v>
      </c>
      <c r="E23" s="98">
        <f>+E21/(24*E$8)</f>
        <v>0</v>
      </c>
      <c r="F23" s="98">
        <f t="shared" ref="F23:N23" si="4">+F21/(24*F$8)</f>
        <v>0</v>
      </c>
      <c r="G23" s="98">
        <f t="shared" si="4"/>
        <v>-1.3440860215053765E-3</v>
      </c>
      <c r="H23" s="98">
        <f t="shared" si="4"/>
        <v>0</v>
      </c>
      <c r="I23" s="37">
        <f t="shared" si="4"/>
        <v>0</v>
      </c>
      <c r="J23" s="98">
        <f t="shared" si="4"/>
        <v>0</v>
      </c>
      <c r="K23" s="98">
        <f t="shared" si="4"/>
        <v>0</v>
      </c>
      <c r="L23" s="98">
        <f t="shared" si="4"/>
        <v>0</v>
      </c>
      <c r="M23" s="98">
        <f t="shared" si="4"/>
        <v>0</v>
      </c>
      <c r="N23" s="37">
        <f t="shared" si="4"/>
        <v>0</v>
      </c>
      <c r="O23" s="6">
        <f>SUM(O21)/(24*O$8)</f>
        <v>-1.1415525114155251E-4</v>
      </c>
      <c r="P23" s="4" t="e">
        <f>O21/(COUNTIF(B21:N21,"&gt;0")*720)</f>
        <v>#DIV/0!</v>
      </c>
    </row>
    <row r="24" spans="1:16" x14ac:dyDescent="0.25">
      <c r="A24" s="97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-1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 t="e">
        <f>COS(ATAN(P22/P20))</f>
        <v>#DIV/0!</v>
      </c>
    </row>
    <row r="25" spans="1:16" x14ac:dyDescent="0.25">
      <c r="A25" s="97" t="s">
        <v>17</v>
      </c>
      <c r="B25" s="98" t="e">
        <f>+B23/B20</f>
        <v>#DIV/0!</v>
      </c>
      <c r="C25" s="98" t="e">
        <f>+C23/C20</f>
        <v>#DIV/0!</v>
      </c>
      <c r="D25" s="98" t="e">
        <f t="shared" ref="D25:N25" si="5">+D23/D20</f>
        <v>#DIV/0!</v>
      </c>
      <c r="E25" s="98" t="e">
        <f t="shared" si="5"/>
        <v>#DIV/0!</v>
      </c>
      <c r="F25" s="98" t="e">
        <f t="shared" si="5"/>
        <v>#DIV/0!</v>
      </c>
      <c r="G25" s="98">
        <f t="shared" si="5"/>
        <v>1.3440860215053765E-3</v>
      </c>
      <c r="H25" s="98" t="e">
        <f t="shared" si="5"/>
        <v>#DIV/0!</v>
      </c>
      <c r="I25" s="37" t="e">
        <f t="shared" si="5"/>
        <v>#DIV/0!</v>
      </c>
      <c r="J25" s="98" t="e">
        <f t="shared" si="5"/>
        <v>#DIV/0!</v>
      </c>
      <c r="K25" s="98" t="e">
        <f t="shared" si="5"/>
        <v>#DIV/0!</v>
      </c>
      <c r="L25" s="98" t="e">
        <f t="shared" si="5"/>
        <v>#DIV/0!</v>
      </c>
      <c r="M25" s="98" t="e">
        <f t="shared" si="5"/>
        <v>#DIV/0!</v>
      </c>
      <c r="N25" s="37" t="e">
        <f t="shared" si="5"/>
        <v>#DIV/0!</v>
      </c>
      <c r="O25" s="6"/>
      <c r="P25" s="4" t="e">
        <f>+P23/P20</f>
        <v>#DIV/0!</v>
      </c>
    </row>
    <row r="26" spans="1:16" s="24" customFormat="1" x14ac:dyDescent="0.25">
      <c r="A26" s="271" t="s">
        <v>464</v>
      </c>
      <c r="B26" s="65"/>
      <c r="C26" s="65"/>
      <c r="D26" s="65"/>
      <c r="E26" s="65"/>
      <c r="F26" s="65"/>
      <c r="G26" s="66"/>
      <c r="H26" s="66"/>
      <c r="I26" s="66"/>
      <c r="J26" s="66"/>
      <c r="K26" s="36"/>
      <c r="L26" s="36"/>
      <c r="M26" s="36"/>
      <c r="N26" s="36"/>
      <c r="O26" s="36"/>
      <c r="P26" s="36"/>
    </row>
    <row r="27" spans="1:16" x14ac:dyDescent="0.25">
      <c r="A27" s="97" t="s">
        <v>6</v>
      </c>
      <c r="B27" s="381">
        <f>VLOOKUP($A$26,TABLA_1[],5,FALSE)</f>
        <v>0</v>
      </c>
      <c r="C27" s="381">
        <f>VLOOKUP($A$26,TABLA_2[],5,FALSE)</f>
        <v>0</v>
      </c>
      <c r="D27" s="381">
        <f>VLOOKUP($A$26,TABLA_3[],5,FALSE)</f>
        <v>0</v>
      </c>
      <c r="E27" s="381">
        <f>VLOOKUP($A$26,TABLA_4[],5,FALSE)</f>
        <v>0</v>
      </c>
      <c r="F27" s="381">
        <f>VLOOKUP($A$26,TABLA_5[],5,FALSE)</f>
        <v>0</v>
      </c>
      <c r="G27" s="381">
        <f>VLOOKUP($A$26,TABLA_6[],5,FALSE)</f>
        <v>-1</v>
      </c>
      <c r="H27" s="381">
        <f>VLOOKUP($A$26,TABLA_7[],5,FALSE)</f>
        <v>0</v>
      </c>
      <c r="I27" s="381">
        <f>VLOOKUP($A$26,TABLA_8[],5,FALSE)</f>
        <v>0</v>
      </c>
      <c r="J27" s="381">
        <f>VLOOKUP($A$26,TABLA_9[],5,FALSE)</f>
        <v>0</v>
      </c>
      <c r="K27" s="381">
        <f>VLOOKUP($A$26,TABLA_10[],5,FALSE)</f>
        <v>0</v>
      </c>
      <c r="L27" s="381">
        <f>VLOOKUP($A$26,TABLA_11[],5,FALSE)</f>
        <v>0</v>
      </c>
      <c r="M27" s="381">
        <f>VLOOKUP($A$26,TABLA_12[],5,FALSE)</f>
        <v>0</v>
      </c>
      <c r="N27" s="381">
        <f>VLOOKUP($A$26,TABLA_13[],5,FALSE)</f>
        <v>0</v>
      </c>
      <c r="O27" s="6"/>
      <c r="P27" s="43">
        <f>MAX(B27:N27)</f>
        <v>0</v>
      </c>
    </row>
    <row r="28" spans="1:16" x14ac:dyDescent="0.25">
      <c r="A28" s="97" t="s">
        <v>7</v>
      </c>
      <c r="B28" s="382">
        <f>VLOOKUP($A$26,TABLA_1[],8,FALSE)</f>
        <v>0</v>
      </c>
      <c r="C28" s="382">
        <f>VLOOKUP($A$26,TABLA_2[],8,FALSE)</f>
        <v>0</v>
      </c>
      <c r="D28" s="382">
        <f>VLOOKUP($A$26,TABLA_3[],8,FALSE)</f>
        <v>0</v>
      </c>
      <c r="E28" s="382">
        <f>VLOOKUP($A$26,TABLA_4[],8,FALSE)</f>
        <v>0</v>
      </c>
      <c r="F28" s="382">
        <f>VLOOKUP($A$26,TABLA_5[],8,FALSE)</f>
        <v>0</v>
      </c>
      <c r="G28" s="382">
        <f>VLOOKUP($A$26,TABLA_6[],8,FALSE)</f>
        <v>-1</v>
      </c>
      <c r="H28" s="382">
        <f>VLOOKUP($A$26,TABLA_7[],8,FALSE)</f>
        <v>0</v>
      </c>
      <c r="I28" s="382">
        <f>VLOOKUP($A$26,TABLA_8[],8,FALSE)</f>
        <v>0</v>
      </c>
      <c r="J28" s="382">
        <f>VLOOKUP($A$26,TABLA_9[],8,FALSE)</f>
        <v>0</v>
      </c>
      <c r="K28" s="382">
        <f>VLOOKUP($A$26,TABLA_10[],8,FALSE)</f>
        <v>0</v>
      </c>
      <c r="L28" s="382">
        <f>VLOOKUP($A$26,TABLA_11[],8,FALSE)</f>
        <v>0</v>
      </c>
      <c r="M28" s="382">
        <f>VLOOKUP($A$26,TABLA_12[],8,FALSE)</f>
        <v>0</v>
      </c>
      <c r="N28" s="382">
        <f>VLOOKUP($A$26,TABLA_13[],8,FALSE)</f>
        <v>0</v>
      </c>
      <c r="O28" s="47">
        <f>SUM(B28:N28)</f>
        <v>-1</v>
      </c>
      <c r="P28" s="43" t="e">
        <f>SUM(B28:N28)/(COUNTIF(B28:N28,"&gt;0"))</f>
        <v>#DIV/0!</v>
      </c>
    </row>
    <row r="29" spans="1:16" x14ac:dyDescent="0.25">
      <c r="A29" s="97" t="s">
        <v>16</v>
      </c>
      <c r="B29" s="98" t="e">
        <f>+((B27/B31)^2-(B27^2))^(0.5)</f>
        <v>#DIV/0!</v>
      </c>
      <c r="C29" s="98" t="e">
        <f>+((C27/C31)^2-(C27^2))^(0.5)</f>
        <v>#DIV/0!</v>
      </c>
      <c r="D29" s="98" t="e">
        <f t="shared" ref="D29:N29" si="6">+((D27/D31)^2-(D27^2))^(0.5)</f>
        <v>#DIV/0!</v>
      </c>
      <c r="E29" s="98" t="e">
        <f t="shared" si="6"/>
        <v>#DIV/0!</v>
      </c>
      <c r="F29" s="98" t="e">
        <f t="shared" si="6"/>
        <v>#DIV/0!</v>
      </c>
      <c r="G29" s="98">
        <f t="shared" si="6"/>
        <v>0</v>
      </c>
      <c r="H29" s="98" t="e">
        <f t="shared" si="6"/>
        <v>#DIV/0!</v>
      </c>
      <c r="I29" s="37" t="e">
        <f t="shared" si="6"/>
        <v>#DIV/0!</v>
      </c>
      <c r="J29" s="98" t="e">
        <f t="shared" si="6"/>
        <v>#DIV/0!</v>
      </c>
      <c r="K29" s="98" t="e">
        <f t="shared" si="6"/>
        <v>#DIV/0!</v>
      </c>
      <c r="L29" s="98" t="e">
        <f t="shared" si="6"/>
        <v>#DIV/0!</v>
      </c>
      <c r="M29" s="98">
        <f t="shared" si="6"/>
        <v>0</v>
      </c>
      <c r="N29" s="37">
        <f t="shared" si="6"/>
        <v>0</v>
      </c>
      <c r="O29" s="37"/>
      <c r="P29" s="4" t="e">
        <f>HLOOKUP(P27,B27:N29,3,FALSE)</f>
        <v>#DIV/0!</v>
      </c>
    </row>
    <row r="30" spans="1:16" x14ac:dyDescent="0.25">
      <c r="A30" s="97" t="s">
        <v>8</v>
      </c>
      <c r="B30" s="98">
        <f>+B28/(24*B$8)</f>
        <v>0</v>
      </c>
      <c r="C30" s="98">
        <f>+C28/(24*C$8)</f>
        <v>0</v>
      </c>
      <c r="D30" s="98">
        <f t="shared" ref="D30:N30" si="7">+D28/(24*D$8)</f>
        <v>0</v>
      </c>
      <c r="E30" s="98">
        <f t="shared" si="7"/>
        <v>0</v>
      </c>
      <c r="F30" s="98">
        <f t="shared" si="7"/>
        <v>0</v>
      </c>
      <c r="G30" s="98">
        <f t="shared" si="7"/>
        <v>-1.3440860215053765E-3</v>
      </c>
      <c r="H30" s="98">
        <f t="shared" si="7"/>
        <v>0</v>
      </c>
      <c r="I30" s="37">
        <f t="shared" si="7"/>
        <v>0</v>
      </c>
      <c r="J30" s="98">
        <f t="shared" si="7"/>
        <v>0</v>
      </c>
      <c r="K30" s="98">
        <f t="shared" si="7"/>
        <v>0</v>
      </c>
      <c r="L30" s="98">
        <f t="shared" si="7"/>
        <v>0</v>
      </c>
      <c r="M30" s="98">
        <f t="shared" si="7"/>
        <v>0</v>
      </c>
      <c r="N30" s="98">
        <f t="shared" si="7"/>
        <v>0</v>
      </c>
      <c r="O30" s="6">
        <f>SUM(O28)/(24*O$8)</f>
        <v>-1.1415525114155251E-4</v>
      </c>
      <c r="P30" s="4" t="e">
        <f>O28/(COUNTIF(B28:N28,"&gt;0")*720)</f>
        <v>#DIV/0!</v>
      </c>
    </row>
    <row r="31" spans="1:16" x14ac:dyDescent="0.25">
      <c r="A31" s="97" t="s">
        <v>9</v>
      </c>
      <c r="B31" s="383">
        <f>VLOOKUP($A$26,TABLA_1[],10,FALSE)</f>
        <v>0</v>
      </c>
      <c r="C31" s="383">
        <f>VLOOKUP($A$26,TABLA_2[],10,FALSE)</f>
        <v>0</v>
      </c>
      <c r="D31" s="383">
        <f>VLOOKUP($A$26,TABLA_3[],10,FALSE)</f>
        <v>0</v>
      </c>
      <c r="E31" s="383">
        <f>VLOOKUP($A$26,TABLA_4[],10,FALSE)</f>
        <v>0</v>
      </c>
      <c r="F31" s="383">
        <f>VLOOKUP($A$26,TABLA_5[],10,FALSE)</f>
        <v>0</v>
      </c>
      <c r="G31" s="383">
        <f>VLOOKUP($A$26,TABLA_6[],10,FALSE)</f>
        <v>-1</v>
      </c>
      <c r="H31" s="383">
        <f>VLOOKUP($A$26,TABLA_7[],10,FALSE)</f>
        <v>0</v>
      </c>
      <c r="I31" s="383">
        <f>VLOOKUP($A$26,TABLA_8[],10,FALSE)</f>
        <v>0</v>
      </c>
      <c r="J31" s="383">
        <f>VLOOKUP($A$26,TABLA_9[],10,FALSE)</f>
        <v>0</v>
      </c>
      <c r="K31" s="383">
        <f>VLOOKUP($A$26,TABLA_10[],10,FALSE)</f>
        <v>0</v>
      </c>
      <c r="L31" s="383">
        <f>VLOOKUP($A$26,TABLA_11[],10,FALSE)</f>
        <v>0</v>
      </c>
      <c r="M31" s="383">
        <f>VLOOKUP($A$26,TABLA_6[],10,FALSE)</f>
        <v>-1</v>
      </c>
      <c r="N31" s="383">
        <f>VLOOKUP($A$26,TABLA_6[],10,FALSE)</f>
        <v>-1</v>
      </c>
      <c r="O31" s="6"/>
      <c r="P31" s="4" t="e">
        <f>COS(ATAN(P29/P27))</f>
        <v>#DIV/0!</v>
      </c>
    </row>
    <row r="32" spans="1:16" x14ac:dyDescent="0.25">
      <c r="A32" s="97" t="s">
        <v>17</v>
      </c>
      <c r="B32" s="98" t="e">
        <f>+B30/B27</f>
        <v>#DIV/0!</v>
      </c>
      <c r="C32" s="98" t="e">
        <f>+C30/C27</f>
        <v>#DIV/0!</v>
      </c>
      <c r="D32" s="98" t="e">
        <f t="shared" ref="D32:N32" si="8">+D30/D27</f>
        <v>#DIV/0!</v>
      </c>
      <c r="E32" s="98" t="e">
        <f t="shared" si="8"/>
        <v>#DIV/0!</v>
      </c>
      <c r="F32" s="98" t="e">
        <f t="shared" si="8"/>
        <v>#DIV/0!</v>
      </c>
      <c r="G32" s="98">
        <f t="shared" si="8"/>
        <v>1.3440860215053765E-3</v>
      </c>
      <c r="H32" s="98" t="e">
        <f t="shared" si="8"/>
        <v>#DIV/0!</v>
      </c>
      <c r="I32" s="37" t="e">
        <f t="shared" si="8"/>
        <v>#DIV/0!</v>
      </c>
      <c r="J32" s="98" t="e">
        <f t="shared" si="8"/>
        <v>#DIV/0!</v>
      </c>
      <c r="K32" s="98" t="e">
        <f t="shared" si="8"/>
        <v>#DIV/0!</v>
      </c>
      <c r="L32" s="98" t="e">
        <f t="shared" si="8"/>
        <v>#DIV/0!</v>
      </c>
      <c r="M32" s="98" t="e">
        <f t="shared" si="8"/>
        <v>#DIV/0!</v>
      </c>
      <c r="N32" s="37" t="e">
        <f t="shared" si="8"/>
        <v>#DIV/0!</v>
      </c>
      <c r="O32" s="6"/>
      <c r="P32" s="4" t="e">
        <f>+P30/P27</f>
        <v>#DIV/0!</v>
      </c>
    </row>
    <row r="33" spans="1:16" x14ac:dyDescent="0.25">
      <c r="A33" s="48"/>
      <c r="B33" s="85"/>
      <c r="C33" s="85"/>
      <c r="D33" s="85"/>
      <c r="E33" s="85"/>
      <c r="F33" s="85"/>
      <c r="G33" s="48"/>
      <c r="H33" s="48"/>
      <c r="I33" s="48"/>
      <c r="J33" s="48"/>
      <c r="K33" s="48"/>
      <c r="L33" s="48"/>
      <c r="M33" s="48"/>
      <c r="N33" s="48"/>
      <c r="O33" s="48"/>
      <c r="P33" s="48"/>
    </row>
    <row r="34" spans="1:16" x14ac:dyDescent="0.25">
      <c r="A34" s="7" t="s">
        <v>10</v>
      </c>
      <c r="B34" s="27"/>
      <c r="C34" s="27"/>
      <c r="D34" s="27"/>
      <c r="E34" s="27"/>
      <c r="F34" s="27"/>
      <c r="G34" s="7"/>
      <c r="H34" s="7"/>
      <c r="I34" s="7"/>
      <c r="J34" s="7"/>
      <c r="K34" s="7"/>
      <c r="L34" s="8"/>
      <c r="M34" s="8"/>
      <c r="N34" s="8"/>
      <c r="O34" s="8"/>
      <c r="P34" s="8"/>
    </row>
    <row r="35" spans="1:16" x14ac:dyDescent="0.25">
      <c r="A35" s="9" t="s">
        <v>11</v>
      </c>
      <c r="B35" s="42">
        <f t="shared" ref="B35:N35" si="9">B13+B20+B27</f>
        <v>0</v>
      </c>
      <c r="C35" s="42">
        <f t="shared" si="9"/>
        <v>0</v>
      </c>
      <c r="D35" s="42">
        <f t="shared" si="9"/>
        <v>0</v>
      </c>
      <c r="E35" s="42">
        <f t="shared" si="9"/>
        <v>0</v>
      </c>
      <c r="F35" s="42">
        <f t="shared" si="9"/>
        <v>0</v>
      </c>
      <c r="G35" s="42">
        <f t="shared" si="9"/>
        <v>-3</v>
      </c>
      <c r="H35" s="42">
        <f t="shared" si="9"/>
        <v>0</v>
      </c>
      <c r="I35" s="42">
        <f t="shared" si="9"/>
        <v>0</v>
      </c>
      <c r="J35" s="42">
        <f t="shared" si="9"/>
        <v>0</v>
      </c>
      <c r="K35" s="42">
        <f t="shared" si="9"/>
        <v>0</v>
      </c>
      <c r="L35" s="42">
        <f t="shared" si="9"/>
        <v>0</v>
      </c>
      <c r="M35" s="42">
        <f t="shared" si="9"/>
        <v>0</v>
      </c>
      <c r="N35" s="42">
        <f t="shared" si="9"/>
        <v>0</v>
      </c>
      <c r="O35" s="62"/>
      <c r="P35" s="42">
        <f>MAX(B35:N35)</f>
        <v>0</v>
      </c>
    </row>
    <row r="36" spans="1:16" x14ac:dyDescent="0.25">
      <c r="A36" s="9"/>
      <c r="B36" s="42">
        <f t="shared" ref="B36:N36" si="10">B14+B21+B28</f>
        <v>0</v>
      </c>
      <c r="C36" s="42">
        <f t="shared" si="10"/>
        <v>0</v>
      </c>
      <c r="D36" s="42">
        <f t="shared" si="10"/>
        <v>0</v>
      </c>
      <c r="E36" s="42">
        <f t="shared" si="10"/>
        <v>0</v>
      </c>
      <c r="F36" s="42">
        <f t="shared" si="10"/>
        <v>0</v>
      </c>
      <c r="G36" s="42">
        <f t="shared" si="10"/>
        <v>-3</v>
      </c>
      <c r="H36" s="42">
        <f t="shared" si="10"/>
        <v>0</v>
      </c>
      <c r="I36" s="42">
        <f t="shared" si="10"/>
        <v>0</v>
      </c>
      <c r="J36" s="42">
        <f t="shared" si="10"/>
        <v>0</v>
      </c>
      <c r="K36" s="42">
        <f t="shared" si="10"/>
        <v>0</v>
      </c>
      <c r="L36" s="42">
        <f t="shared" si="10"/>
        <v>0</v>
      </c>
      <c r="M36" s="42">
        <f t="shared" si="10"/>
        <v>0</v>
      </c>
      <c r="N36" s="42">
        <f t="shared" si="10"/>
        <v>0</v>
      </c>
      <c r="O36" s="62">
        <f>SUM(B36:N36)</f>
        <v>-3</v>
      </c>
      <c r="P36" s="42"/>
    </row>
    <row r="37" spans="1:16" x14ac:dyDescent="0.25">
      <c r="A37" s="9"/>
      <c r="B37" s="42"/>
      <c r="C37" s="42"/>
      <c r="D37" s="42"/>
      <c r="E37" s="42"/>
      <c r="F37" s="42"/>
      <c r="G37" s="42"/>
      <c r="H37" s="42"/>
      <c r="I37" s="42"/>
      <c r="J37" s="42"/>
      <c r="K37" s="42"/>
      <c r="L37" s="42"/>
      <c r="M37" s="42"/>
      <c r="N37" s="42"/>
      <c r="O37" s="62"/>
      <c r="P37" s="42"/>
    </row>
    <row r="38" spans="1:16" x14ac:dyDescent="0.25">
      <c r="A38" s="272" t="s">
        <v>12</v>
      </c>
      <c r="B38" s="376" t="s">
        <v>499</v>
      </c>
      <c r="C38" s="250"/>
      <c r="D38" s="250"/>
      <c r="E38" s="250"/>
      <c r="F38" s="250"/>
      <c r="G38" s="244"/>
      <c r="H38" s="244"/>
      <c r="I38" s="244"/>
      <c r="J38" s="244"/>
      <c r="K38" s="3"/>
      <c r="L38" s="3"/>
      <c r="M38" s="3"/>
      <c r="N38" s="36"/>
      <c r="O38" s="36"/>
      <c r="P38" s="3"/>
    </row>
    <row r="39" spans="1:16" x14ac:dyDescent="0.25">
      <c r="A39" s="3" t="s">
        <v>6</v>
      </c>
      <c r="B39" s="389">
        <f>VLOOKUP($B$38,BancoTabla_1[],5,FALSE)</f>
        <v>0</v>
      </c>
      <c r="C39" s="389">
        <f>VLOOKUP($B$38,BancoTabla_2[],5,FALSE)</f>
        <v>0</v>
      </c>
      <c r="D39" s="389">
        <f>VLOOKUP($B$38,BancoTabla_3[],5,FALSE)</f>
        <v>0</v>
      </c>
      <c r="E39" s="389">
        <f>VLOOKUP($B$38,BancoTabla_4[],5,FALSE)</f>
        <v>0</v>
      </c>
      <c r="F39" s="389">
        <f>VLOOKUP($B$38,BancoTabla_5[],5,FALSE)</f>
        <v>0</v>
      </c>
      <c r="G39" s="389">
        <f>VLOOKUP($B$38,BancoTabla_6[],5,FALSE)</f>
        <v>-1</v>
      </c>
      <c r="H39" s="389">
        <f>VLOOKUP($B$38,BancoTabla_7[],5,FALSE)</f>
        <v>0</v>
      </c>
      <c r="I39" s="389">
        <f>VLOOKUP($B$38,BancoTabla_8[],5,FALSE)</f>
        <v>0</v>
      </c>
      <c r="J39" s="389">
        <f>VLOOKUP($B$38,BancoTabla_9[],5,FALSE)</f>
        <v>0</v>
      </c>
      <c r="K39" s="389">
        <f>VLOOKUP($B$38,BancoTabla_10[],5,FALSE)</f>
        <v>0</v>
      </c>
      <c r="L39" s="389">
        <f>VLOOKUP($B$38,BancoTabla_11[],5,FALSE)</f>
        <v>0</v>
      </c>
      <c r="M39" s="389">
        <f>VLOOKUP($B$38,BancoTabla_12[],5,FALSE)</f>
        <v>0</v>
      </c>
      <c r="N39" s="389">
        <f>VLOOKUP($B$38,BancoTabla_13[],5,FALSE)</f>
        <v>0</v>
      </c>
      <c r="O39" s="79"/>
      <c r="P39" s="43">
        <f>MAX(B39:N39)</f>
        <v>0</v>
      </c>
    </row>
    <row r="40" spans="1:16" x14ac:dyDescent="0.25">
      <c r="A40" s="3" t="s">
        <v>7</v>
      </c>
      <c r="B40" s="391">
        <f>VLOOKUP($B$38,BancoTabla_1[],8,FALSE)</f>
        <v>0</v>
      </c>
      <c r="C40" s="391">
        <f>VLOOKUP($B$38,BancoTabla_2[],8,FALSE)</f>
        <v>0</v>
      </c>
      <c r="D40" s="391">
        <f>VLOOKUP($B$38,BancoTabla_3[],8,FALSE)</f>
        <v>0</v>
      </c>
      <c r="E40" s="391">
        <f>VLOOKUP($B$38,BancoTabla_4[],8,FALSE)</f>
        <v>0</v>
      </c>
      <c r="F40" s="391">
        <f>VLOOKUP($B$38,BancoTabla_5[],8,FALSE)</f>
        <v>0</v>
      </c>
      <c r="G40" s="391">
        <f>VLOOKUP($B$38,BancoTabla_6[],8,FALSE)</f>
        <v>-1</v>
      </c>
      <c r="H40" s="391">
        <f>VLOOKUP($B$38,BancoTabla_7[],8,FALSE)</f>
        <v>0</v>
      </c>
      <c r="I40" s="391">
        <f>VLOOKUP($B$38,BancoTabla_8[],8,FALSE)</f>
        <v>0</v>
      </c>
      <c r="J40" s="391">
        <f>VLOOKUP($B$38,BancoTabla_9[],8,FALSE)</f>
        <v>0</v>
      </c>
      <c r="K40" s="391">
        <f>VLOOKUP($B$38,BancoTabla_10[],8,FALSE)</f>
        <v>0</v>
      </c>
      <c r="L40" s="391">
        <f>VLOOKUP($B$38,BancoTabla_11[],8,FALSE)</f>
        <v>0</v>
      </c>
      <c r="M40" s="391">
        <f>VLOOKUP($B$38,BancoTabla_12[],8,FALSE)</f>
        <v>0</v>
      </c>
      <c r="N40" s="391">
        <f>VLOOKUP($B$38,BancoTabla_13[],8,FALSE)</f>
        <v>0</v>
      </c>
      <c r="O40" s="47">
        <f>SUM(B40:N40)</f>
        <v>-1</v>
      </c>
      <c r="P40" s="4" t="e">
        <f>SUM(B40:N40)/(COUNTIF(B40:N40,"&gt;0"))</f>
        <v>#DIV/0!</v>
      </c>
    </row>
    <row r="41" spans="1:16" x14ac:dyDescent="0.25">
      <c r="A41" s="3" t="s">
        <v>16</v>
      </c>
      <c r="B41" s="37" t="e">
        <f t="shared" ref="B41:M41" si="11">+((B39/B43)^2-(B39^2))^(0.5)</f>
        <v>#DIV/0!</v>
      </c>
      <c r="C41" s="37" t="e">
        <f>+((C39/C43)^2-(C39^2))^(0.5)</f>
        <v>#DIV/0!</v>
      </c>
      <c r="D41" s="37" t="e">
        <f t="shared" si="11"/>
        <v>#DIV/0!</v>
      </c>
      <c r="E41" s="37" t="e">
        <f t="shared" si="11"/>
        <v>#DIV/0!</v>
      </c>
      <c r="F41" s="37" t="e">
        <f t="shared" si="11"/>
        <v>#DIV/0!</v>
      </c>
      <c r="G41" s="37">
        <f t="shared" si="11"/>
        <v>0</v>
      </c>
      <c r="H41" s="37" t="e">
        <f t="shared" si="11"/>
        <v>#DIV/0!</v>
      </c>
      <c r="I41" s="37" t="e">
        <f t="shared" si="11"/>
        <v>#DIV/0!</v>
      </c>
      <c r="J41" s="37" t="e">
        <f t="shared" si="11"/>
        <v>#DIV/0!</v>
      </c>
      <c r="K41" s="37" t="e">
        <f t="shared" si="11"/>
        <v>#DIV/0!</v>
      </c>
      <c r="L41" s="37" t="e">
        <f t="shared" si="11"/>
        <v>#DIV/0!</v>
      </c>
      <c r="M41" s="37" t="e">
        <f t="shared" si="11"/>
        <v>#DIV/0!</v>
      </c>
      <c r="N41" s="37" t="e">
        <f>+((N39/N43)^2-(N39^2))^(0.5)</f>
        <v>#DIV/0!</v>
      </c>
      <c r="O41" s="37"/>
      <c r="P41" s="4" t="e">
        <f>HLOOKUP(P39,B39:N41,3,FALSE)</f>
        <v>#DIV/0!</v>
      </c>
    </row>
    <row r="42" spans="1:16" x14ac:dyDescent="0.25">
      <c r="A42" s="3" t="s">
        <v>8</v>
      </c>
      <c r="B42" s="37">
        <f t="shared" ref="B42:M42" si="12">+B40/(24*B$8)</f>
        <v>0</v>
      </c>
      <c r="C42" s="37">
        <f>+C40/(24*C$8)</f>
        <v>0</v>
      </c>
      <c r="D42" s="37">
        <f t="shared" si="12"/>
        <v>0</v>
      </c>
      <c r="E42" s="37">
        <f t="shared" si="12"/>
        <v>0</v>
      </c>
      <c r="F42" s="37">
        <f>+F40/(24*F$8)</f>
        <v>0</v>
      </c>
      <c r="G42" s="37">
        <f t="shared" si="12"/>
        <v>-1.3440860215053765E-3</v>
      </c>
      <c r="H42" s="37">
        <f t="shared" si="12"/>
        <v>0</v>
      </c>
      <c r="I42" s="37">
        <f t="shared" si="12"/>
        <v>0</v>
      </c>
      <c r="J42" s="37">
        <f t="shared" si="12"/>
        <v>0</v>
      </c>
      <c r="K42" s="37">
        <f t="shared" si="12"/>
        <v>0</v>
      </c>
      <c r="L42" s="37">
        <f t="shared" si="12"/>
        <v>0</v>
      </c>
      <c r="M42" s="37">
        <f t="shared" si="12"/>
        <v>0</v>
      </c>
      <c r="N42" s="37">
        <f>+N40/(24*N$8)</f>
        <v>0</v>
      </c>
      <c r="O42" s="6">
        <f>SUM(O40)/(24*O$8)</f>
        <v>-1.1415525114155251E-4</v>
      </c>
      <c r="P42" s="4" t="e">
        <f>O40/(COUNTIF(B40:N40,"&gt;0")*720)</f>
        <v>#DIV/0!</v>
      </c>
    </row>
    <row r="43" spans="1:16" x14ac:dyDescent="0.25">
      <c r="A43" s="3" t="s">
        <v>9</v>
      </c>
      <c r="B43" s="391">
        <f>VLOOKUP($B$38,BancoTabla_1[],10,FALSE)</f>
        <v>0</v>
      </c>
      <c r="C43" s="391">
        <f>VLOOKUP($B$38,BancoTabla_2[],10,FALSE)</f>
        <v>0</v>
      </c>
      <c r="D43" s="391">
        <f>VLOOKUP($B$38,BancoTabla_3[],10,FALSE)</f>
        <v>0</v>
      </c>
      <c r="E43" s="391">
        <f>VLOOKUP($B$38,BancoTabla_4[],10,FALSE)</f>
        <v>0</v>
      </c>
      <c r="F43" s="391">
        <f>VLOOKUP($B$38,BancoTabla_5[],10,FALSE)</f>
        <v>0</v>
      </c>
      <c r="G43" s="391">
        <f>VLOOKUP($B$38,BancoTabla_6[],10,FALSE)</f>
        <v>-1</v>
      </c>
      <c r="H43" s="391">
        <f>VLOOKUP($B$38,BancoTabla_7[],10,FALSE)</f>
        <v>0</v>
      </c>
      <c r="I43" s="391">
        <f>VLOOKUP($B$38,BancoTabla_8[],10,FALSE)</f>
        <v>0</v>
      </c>
      <c r="J43" s="391">
        <f>VLOOKUP($B$38,BancoTabla_9[],10,FALSE)</f>
        <v>0</v>
      </c>
      <c r="K43" s="391">
        <f>VLOOKUP($B$38,BancoTabla_10[],10,FALSE)</f>
        <v>0</v>
      </c>
      <c r="L43" s="391">
        <f>VLOOKUP($B$38,BancoTabla_11[],10,FALSE)</f>
        <v>0</v>
      </c>
      <c r="M43" s="391">
        <f>VLOOKUP($B$38,BancoTabla_12[],10,FALSE)</f>
        <v>0</v>
      </c>
      <c r="N43" s="391">
        <f>VLOOKUP($B$38,BancoTabla_13[],10,FALSE)</f>
        <v>0</v>
      </c>
      <c r="O43" s="6"/>
      <c r="P43" s="4" t="e">
        <f>COS(ATAN(P41/P39))</f>
        <v>#DIV/0!</v>
      </c>
    </row>
    <row r="44" spans="1:16" x14ac:dyDescent="0.25">
      <c r="A44" s="3" t="s">
        <v>17</v>
      </c>
      <c r="B44" s="37" t="e">
        <f t="shared" ref="B44:M44" si="13">+B42/B39</f>
        <v>#DIV/0!</v>
      </c>
      <c r="C44" s="37" t="e">
        <f>+C42/C39</f>
        <v>#DIV/0!</v>
      </c>
      <c r="D44" s="37" t="e">
        <f t="shared" si="13"/>
        <v>#DIV/0!</v>
      </c>
      <c r="E44" s="37" t="e">
        <f t="shared" si="13"/>
        <v>#DIV/0!</v>
      </c>
      <c r="F44" s="37" t="e">
        <f>+F42/F39</f>
        <v>#DIV/0!</v>
      </c>
      <c r="G44" s="37">
        <f t="shared" si="13"/>
        <v>1.3440860215053765E-3</v>
      </c>
      <c r="H44" s="37" t="e">
        <f t="shared" si="13"/>
        <v>#DIV/0!</v>
      </c>
      <c r="I44" s="37" t="e">
        <f t="shared" si="13"/>
        <v>#DIV/0!</v>
      </c>
      <c r="J44" s="37" t="e">
        <f t="shared" si="13"/>
        <v>#DIV/0!</v>
      </c>
      <c r="K44" s="37" t="e">
        <f t="shared" si="13"/>
        <v>#DIV/0!</v>
      </c>
      <c r="L44" s="37" t="e">
        <f t="shared" si="13"/>
        <v>#DIV/0!</v>
      </c>
      <c r="M44" s="37" t="e">
        <f t="shared" si="13"/>
        <v>#DIV/0!</v>
      </c>
      <c r="N44" s="37" t="e">
        <f>+N42/N39</f>
        <v>#DIV/0!</v>
      </c>
      <c r="O44" s="6"/>
      <c r="P44" s="4" t="e">
        <f>+P42/P39</f>
        <v>#DIV/0!</v>
      </c>
    </row>
    <row r="45" spans="1:16" x14ac:dyDescent="0.25">
      <c r="A45" s="3" t="s">
        <v>18</v>
      </c>
      <c r="B45" s="37" t="e">
        <f>+B35/B39</f>
        <v>#DIV/0!</v>
      </c>
      <c r="C45" s="37" t="e">
        <f>+C35/C39</f>
        <v>#DIV/0!</v>
      </c>
      <c r="D45" s="37" t="e">
        <f t="shared" ref="D45:M45" si="14">+D35/D39</f>
        <v>#DIV/0!</v>
      </c>
      <c r="E45" s="37" t="e">
        <f t="shared" si="14"/>
        <v>#DIV/0!</v>
      </c>
      <c r="F45" s="37" t="e">
        <f t="shared" si="14"/>
        <v>#DIV/0!</v>
      </c>
      <c r="G45" s="37">
        <f t="shared" si="14"/>
        <v>3</v>
      </c>
      <c r="H45" s="37" t="e">
        <f t="shared" si="14"/>
        <v>#DIV/0!</v>
      </c>
      <c r="I45" s="37" t="e">
        <f t="shared" si="14"/>
        <v>#DIV/0!</v>
      </c>
      <c r="J45" s="37" t="e">
        <f t="shared" si="14"/>
        <v>#DIV/0!</v>
      </c>
      <c r="K45" s="37" t="e">
        <f t="shared" si="14"/>
        <v>#DIV/0!</v>
      </c>
      <c r="L45" s="37" t="e">
        <f t="shared" si="14"/>
        <v>#DIV/0!</v>
      </c>
      <c r="M45" s="37" t="e">
        <f t="shared" si="14"/>
        <v>#DIV/0!</v>
      </c>
      <c r="N45" s="37" t="e">
        <f>+N35/N39</f>
        <v>#DIV/0!</v>
      </c>
      <c r="O45" s="6"/>
      <c r="P45" s="4" t="e">
        <f>+P35/P39</f>
        <v>#DIV/0!</v>
      </c>
    </row>
    <row r="46" spans="1:16" x14ac:dyDescent="0.25">
      <c r="A46" s="3" t="s">
        <v>19</v>
      </c>
      <c r="B46" s="37" t="e">
        <f t="shared" ref="B46:N46" si="15">+B39/$B$47</f>
        <v>#DIV/0!</v>
      </c>
      <c r="C46" s="37" t="e">
        <f>+C39/$B$47</f>
        <v>#DIV/0!</v>
      </c>
      <c r="D46" s="37" t="e">
        <f t="shared" si="15"/>
        <v>#DIV/0!</v>
      </c>
      <c r="E46" s="37" t="e">
        <f t="shared" si="15"/>
        <v>#DIV/0!</v>
      </c>
      <c r="F46" s="37" t="e">
        <f t="shared" si="15"/>
        <v>#DIV/0!</v>
      </c>
      <c r="G46" s="37" t="e">
        <f t="shared" si="15"/>
        <v>#DIV/0!</v>
      </c>
      <c r="H46" s="37" t="e">
        <f t="shared" si="15"/>
        <v>#DIV/0!</v>
      </c>
      <c r="I46" s="37" t="e">
        <f t="shared" si="15"/>
        <v>#DIV/0!</v>
      </c>
      <c r="J46" s="37" t="e">
        <f t="shared" si="15"/>
        <v>#DIV/0!</v>
      </c>
      <c r="K46" s="37" t="e">
        <f t="shared" si="15"/>
        <v>#DIV/0!</v>
      </c>
      <c r="L46" s="37" t="e">
        <f t="shared" si="15"/>
        <v>#DIV/0!</v>
      </c>
      <c r="M46" s="37" t="e">
        <f t="shared" si="15"/>
        <v>#DIV/0!</v>
      </c>
      <c r="N46" s="37" t="e">
        <f t="shared" si="15"/>
        <v>#DIV/0!</v>
      </c>
      <c r="O46" s="6"/>
      <c r="P46" s="4" t="e">
        <f>+P39/B47</f>
        <v>#DIV/0!</v>
      </c>
    </row>
    <row r="47" spans="1:16" x14ac:dyDescent="0.25">
      <c r="A47" s="3" t="s">
        <v>20</v>
      </c>
      <c r="B47" s="37" t="e">
        <f>3.125*P43*1000</f>
        <v>#DIV/0!</v>
      </c>
      <c r="C47" s="37"/>
      <c r="D47" s="37"/>
      <c r="E47" s="37"/>
      <c r="F47" s="37"/>
      <c r="G47" s="37"/>
      <c r="H47" s="37"/>
      <c r="I47" s="37"/>
      <c r="J47" s="37"/>
      <c r="K47" s="37"/>
      <c r="L47" s="37"/>
      <c r="M47" s="37"/>
      <c r="N47" s="37"/>
      <c r="O47" s="37"/>
      <c r="P47" s="4"/>
    </row>
    <row r="48" spans="1:16" x14ac:dyDescent="0.25">
      <c r="A48" s="104"/>
      <c r="B48" s="237" t="e">
        <f>B39/$B$47</f>
        <v>#DIV/0!</v>
      </c>
      <c r="C48" s="237" t="e">
        <f>C39/$B$47</f>
        <v>#DIV/0!</v>
      </c>
      <c r="D48" s="237" t="e">
        <f t="shared" ref="D48:N48" si="16">D39/$B$47</f>
        <v>#DIV/0!</v>
      </c>
      <c r="E48" s="237" t="e">
        <f t="shared" si="16"/>
        <v>#DIV/0!</v>
      </c>
      <c r="F48" s="237" t="e">
        <f t="shared" si="16"/>
        <v>#DIV/0!</v>
      </c>
      <c r="G48" s="237" t="e">
        <f t="shared" si="16"/>
        <v>#DIV/0!</v>
      </c>
      <c r="H48" s="237" t="e">
        <f t="shared" si="16"/>
        <v>#DIV/0!</v>
      </c>
      <c r="I48" s="237" t="e">
        <f t="shared" si="16"/>
        <v>#DIV/0!</v>
      </c>
      <c r="J48" s="237" t="e">
        <f t="shared" si="16"/>
        <v>#DIV/0!</v>
      </c>
      <c r="K48" s="237" t="e">
        <f t="shared" si="16"/>
        <v>#DIV/0!</v>
      </c>
      <c r="L48" s="237" t="e">
        <f t="shared" si="16"/>
        <v>#DIV/0!</v>
      </c>
      <c r="M48" s="237" t="e">
        <f t="shared" si="16"/>
        <v>#DIV/0!</v>
      </c>
      <c r="N48" s="237" t="e">
        <f t="shared" si="16"/>
        <v>#DIV/0!</v>
      </c>
      <c r="O48" s="106"/>
      <c r="P48" s="105"/>
    </row>
    <row r="49" spans="1:16" x14ac:dyDescent="0.25"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</row>
    <row r="50" spans="1:16" x14ac:dyDescent="0.25">
      <c r="A50" s="15" t="s">
        <v>14</v>
      </c>
      <c r="B50" s="57"/>
      <c r="C50" s="57"/>
      <c r="D50" s="57"/>
      <c r="E50" s="57"/>
      <c r="F50" s="57"/>
      <c r="G50" s="57"/>
      <c r="H50" s="57"/>
      <c r="I50" s="57"/>
      <c r="J50" s="57"/>
      <c r="K50" s="57"/>
      <c r="L50" s="57"/>
      <c r="M50" s="57"/>
      <c r="N50" s="57"/>
      <c r="O50" s="16"/>
      <c r="P50" s="16"/>
    </row>
    <row r="51" spans="1:16" x14ac:dyDescent="0.25">
      <c r="A51" s="16" t="s">
        <v>11</v>
      </c>
      <c r="B51" s="63">
        <f>+B39</f>
        <v>0</v>
      </c>
      <c r="C51" s="63">
        <f>+C39</f>
        <v>0</v>
      </c>
      <c r="D51" s="63">
        <f t="shared" ref="D51:N51" si="17">+D39</f>
        <v>0</v>
      </c>
      <c r="E51" s="63">
        <f t="shared" si="17"/>
        <v>0</v>
      </c>
      <c r="F51" s="63">
        <f t="shared" si="17"/>
        <v>0</v>
      </c>
      <c r="G51" s="63">
        <f t="shared" si="17"/>
        <v>-1</v>
      </c>
      <c r="H51" s="63">
        <f t="shared" si="17"/>
        <v>0</v>
      </c>
      <c r="I51" s="63">
        <f t="shared" si="17"/>
        <v>0</v>
      </c>
      <c r="J51" s="63">
        <f t="shared" si="17"/>
        <v>0</v>
      </c>
      <c r="K51" s="63">
        <f t="shared" si="17"/>
        <v>0</v>
      </c>
      <c r="L51" s="63">
        <f t="shared" si="17"/>
        <v>0</v>
      </c>
      <c r="M51" s="63">
        <f t="shared" si="17"/>
        <v>0</v>
      </c>
      <c r="N51" s="63">
        <f t="shared" si="17"/>
        <v>0</v>
      </c>
      <c r="O51" s="16"/>
      <c r="P51" s="17">
        <f>MAX(B51:N51)</f>
        <v>0</v>
      </c>
    </row>
    <row r="52" spans="1:16" x14ac:dyDescent="0.25">
      <c r="A52" s="16" t="s">
        <v>7</v>
      </c>
      <c r="B52" s="63">
        <f>+B40</f>
        <v>0</v>
      </c>
      <c r="C52" s="63">
        <f>+C40</f>
        <v>0</v>
      </c>
      <c r="D52" s="63">
        <f t="shared" ref="D52:N52" si="18">+D40</f>
        <v>0</v>
      </c>
      <c r="E52" s="63">
        <f t="shared" si="18"/>
        <v>0</v>
      </c>
      <c r="F52" s="63">
        <f t="shared" si="18"/>
        <v>0</v>
      </c>
      <c r="G52" s="63">
        <f t="shared" si="18"/>
        <v>-1</v>
      </c>
      <c r="H52" s="63">
        <f t="shared" si="18"/>
        <v>0</v>
      </c>
      <c r="I52" s="63">
        <f t="shared" si="18"/>
        <v>0</v>
      </c>
      <c r="J52" s="63">
        <f t="shared" si="18"/>
        <v>0</v>
      </c>
      <c r="K52" s="63">
        <f t="shared" si="18"/>
        <v>0</v>
      </c>
      <c r="L52" s="63">
        <f t="shared" si="18"/>
        <v>0</v>
      </c>
      <c r="M52" s="63">
        <f t="shared" si="18"/>
        <v>0</v>
      </c>
      <c r="N52" s="63">
        <f t="shared" si="18"/>
        <v>0</v>
      </c>
    </row>
    <row r="53" spans="1:16" x14ac:dyDescent="0.25"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</row>
    <row r="54" spans="1:16" x14ac:dyDescent="0.25">
      <c r="A54" s="12" t="s">
        <v>21</v>
      </c>
      <c r="B54" s="70"/>
      <c r="C54" s="70"/>
      <c r="D54" s="70"/>
      <c r="E54" s="70"/>
      <c r="F54" s="70"/>
      <c r="G54" s="71"/>
      <c r="H54" s="71"/>
      <c r="I54" s="71"/>
      <c r="J54" s="71"/>
      <c r="K54" s="67"/>
      <c r="L54" s="67"/>
      <c r="M54" s="67"/>
      <c r="N54" s="67"/>
      <c r="O54" s="13"/>
      <c r="P54" s="13"/>
    </row>
    <row r="55" spans="1:16" x14ac:dyDescent="0.25">
      <c r="A55" s="99" t="s">
        <v>6</v>
      </c>
      <c r="B55" s="101">
        <f>+B51</f>
        <v>0</v>
      </c>
      <c r="C55" s="101">
        <f>+C51</f>
        <v>0</v>
      </c>
      <c r="D55" s="101">
        <f>+D51</f>
        <v>0</v>
      </c>
      <c r="E55" s="101">
        <f>+E51</f>
        <v>0</v>
      </c>
      <c r="F55" s="101">
        <f>+F51</f>
        <v>0</v>
      </c>
      <c r="G55" s="101">
        <f t="shared" ref="G55:M55" si="19">+G51</f>
        <v>-1</v>
      </c>
      <c r="H55" s="101">
        <f t="shared" si="19"/>
        <v>0</v>
      </c>
      <c r="I55" s="101">
        <f t="shared" si="19"/>
        <v>0</v>
      </c>
      <c r="J55" s="101">
        <f t="shared" si="19"/>
        <v>0</v>
      </c>
      <c r="K55" s="101">
        <f t="shared" si="19"/>
        <v>0</v>
      </c>
      <c r="L55" s="101">
        <f t="shared" si="19"/>
        <v>0</v>
      </c>
      <c r="M55" s="101">
        <f t="shared" si="19"/>
        <v>0</v>
      </c>
      <c r="N55" s="101">
        <f>+N51</f>
        <v>0</v>
      </c>
      <c r="O55" s="102"/>
      <c r="P55" s="103">
        <f>MAX(B55:N55)</f>
        <v>0</v>
      </c>
    </row>
    <row r="56" spans="1:16" x14ac:dyDescent="0.25">
      <c r="A56" s="103"/>
      <c r="B56" s="103" t="e">
        <f t="shared" ref="B56:M56" si="20">+B51/B55</f>
        <v>#DIV/0!</v>
      </c>
      <c r="C56" s="103" t="e">
        <f>+C51/C55</f>
        <v>#DIV/0!</v>
      </c>
      <c r="D56" s="103" t="e">
        <f t="shared" si="20"/>
        <v>#DIV/0!</v>
      </c>
      <c r="E56" s="103" t="e">
        <f t="shared" si="20"/>
        <v>#DIV/0!</v>
      </c>
      <c r="F56" s="103" t="e">
        <f t="shared" si="20"/>
        <v>#DIV/0!</v>
      </c>
      <c r="G56" s="103">
        <f t="shared" si="20"/>
        <v>1</v>
      </c>
      <c r="H56" s="103" t="e">
        <f t="shared" si="20"/>
        <v>#DIV/0!</v>
      </c>
      <c r="I56" s="103" t="e">
        <f t="shared" si="20"/>
        <v>#DIV/0!</v>
      </c>
      <c r="J56" s="103" t="e">
        <f t="shared" si="20"/>
        <v>#DIV/0!</v>
      </c>
      <c r="K56" s="103" t="e">
        <f t="shared" si="20"/>
        <v>#DIV/0!</v>
      </c>
      <c r="L56" s="103" t="e">
        <f t="shared" si="20"/>
        <v>#DIV/0!</v>
      </c>
      <c r="M56" s="103" t="e">
        <f t="shared" si="20"/>
        <v>#DIV/0!</v>
      </c>
      <c r="N56" s="103" t="e">
        <f>+N51/N55</f>
        <v>#DIV/0!</v>
      </c>
      <c r="O56" s="5"/>
      <c r="P56" s="103" t="e">
        <f>+P51/P55</f>
        <v>#DIV/0!</v>
      </c>
    </row>
    <row r="59" spans="1:16" x14ac:dyDescent="0.25">
      <c r="G59" s="61" t="s">
        <v>160</v>
      </c>
      <c r="H59" s="145">
        <f>P13+P20+P27</f>
        <v>0</v>
      </c>
    </row>
    <row r="60" spans="1:16" x14ac:dyDescent="0.25">
      <c r="G60" s="61" t="s">
        <v>161</v>
      </c>
      <c r="H60" s="145">
        <f>P39</f>
        <v>0</v>
      </c>
    </row>
    <row r="61" spans="1:16" x14ac:dyDescent="0.25">
      <c r="G61" s="146" t="s">
        <v>162</v>
      </c>
      <c r="H61" s="147" t="e">
        <f>H59/H60</f>
        <v>#DIV/0!</v>
      </c>
    </row>
  </sheetData>
  <mergeCells count="21">
    <mergeCell ref="O9:O10"/>
    <mergeCell ref="P9:P10"/>
    <mergeCell ref="F9:F10"/>
    <mergeCell ref="G9:G10"/>
    <mergeCell ref="H9:H10"/>
    <mergeCell ref="I9:I10"/>
    <mergeCell ref="J9:J10"/>
    <mergeCell ref="K9:K10"/>
    <mergeCell ref="N9:N10"/>
    <mergeCell ref="M9:M10"/>
    <mergeCell ref="E2:M2"/>
    <mergeCell ref="E3:M3"/>
    <mergeCell ref="E4:M4"/>
    <mergeCell ref="E5:M5"/>
    <mergeCell ref="E6:M6"/>
    <mergeCell ref="A9:A10"/>
    <mergeCell ref="B9:B10"/>
    <mergeCell ref="D9:D10"/>
    <mergeCell ref="E9:E10"/>
    <mergeCell ref="L9:L10"/>
    <mergeCell ref="C9:C10"/>
  </mergeCells>
  <phoneticPr fontId="17" type="noConversion"/>
  <printOptions horizontalCentered="1" verticalCentered="1"/>
  <pageMargins left="0.19685039370078741" right="0.19685039370078741" top="0.19685039370078741" bottom="0.19685039370078741" header="0" footer="0"/>
  <pageSetup scale="65" orientation="landscape" horizontalDpi="300" verticalDpi="300" r:id="rId1"/>
  <headerFooter alignWithMargins="0"/>
  <drawing r:id="rId2"/>
  <legacy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Hoja17">
    <tabColor indexed="52"/>
    <pageSetUpPr fitToPage="1"/>
  </sheetPr>
  <dimension ref="A2:P156"/>
  <sheetViews>
    <sheetView topLeftCell="H13" zoomScale="130" zoomScaleNormal="130" zoomScaleSheetLayoutView="100" workbookViewId="0">
      <selection activeCell="B24" sqref="B24:N24"/>
    </sheetView>
  </sheetViews>
  <sheetFormatPr baseColWidth="10" defaultRowHeight="13.2" x14ac:dyDescent="0.25"/>
  <cols>
    <col min="1" max="16" width="15.6640625" customWidth="1"/>
  </cols>
  <sheetData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45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455</v>
      </c>
      <c r="B12" s="65"/>
      <c r="C12" s="65"/>
      <c r="D12" s="65"/>
      <c r="E12" s="65"/>
      <c r="F12" s="65"/>
      <c r="G12" s="66"/>
      <c r="H12" s="66"/>
      <c r="I12" s="66"/>
      <c r="J12" s="66"/>
      <c r="K12" s="36"/>
      <c r="L12" s="36"/>
      <c r="M12" s="36"/>
      <c r="N12" s="36"/>
      <c r="O12" s="36"/>
      <c r="P12" s="36"/>
    </row>
    <row r="13" spans="1:16" x14ac:dyDescent="0.25">
      <c r="A13" s="97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3172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3">
        <f>MAX(B13:N13)</f>
        <v>3172</v>
      </c>
    </row>
    <row r="14" spans="1:16" x14ac:dyDescent="0.25">
      <c r="A14" s="97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1406202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1406202</v>
      </c>
      <c r="P14" s="43">
        <f>SUM(B14:N14)/(COUNTIF(B14:N14,"&gt;0"))</f>
        <v>1406202</v>
      </c>
    </row>
    <row r="15" spans="1:16" x14ac:dyDescent="0.25">
      <c r="A15" s="97" t="s">
        <v>16</v>
      </c>
      <c r="B15" s="98" t="e">
        <f>+((B13/B17)^2-(B13^2))^(0.5)</f>
        <v>#DIV/0!</v>
      </c>
      <c r="C15" s="98" t="e">
        <f>+((C13/C17)^2-(C13^2))^(0.5)</f>
        <v>#DIV/0!</v>
      </c>
      <c r="D15" s="98" t="e">
        <f t="shared" ref="D15:N15" si="0">+((D13/D17)^2-(D13^2))^(0.5)</f>
        <v>#DIV/0!</v>
      </c>
      <c r="E15" s="98" t="e">
        <f t="shared" si="0"/>
        <v>#DIV/0!</v>
      </c>
      <c r="F15" s="98" t="e">
        <f t="shared" si="0"/>
        <v>#DIV/0!</v>
      </c>
      <c r="G15" s="98">
        <f t="shared" si="0"/>
        <v>838.38920658228176</v>
      </c>
      <c r="H15" s="98" t="e">
        <f t="shared" si="0"/>
        <v>#DIV/0!</v>
      </c>
      <c r="I15" s="98" t="e">
        <f t="shared" si="0"/>
        <v>#DIV/0!</v>
      </c>
      <c r="J15" s="98" t="e">
        <f t="shared" si="0"/>
        <v>#DIV/0!</v>
      </c>
      <c r="K15" s="98" t="e">
        <f t="shared" si="0"/>
        <v>#DIV/0!</v>
      </c>
      <c r="L15" s="98" t="e">
        <f t="shared" si="0"/>
        <v>#DIV/0!</v>
      </c>
      <c r="M15" s="98" t="e">
        <f t="shared" si="0"/>
        <v>#DIV/0!</v>
      </c>
      <c r="N15" s="98" t="e">
        <f t="shared" si="0"/>
        <v>#DIV/0!</v>
      </c>
      <c r="O15" s="37"/>
      <c r="P15" s="4">
        <f>HLOOKUP(P13,B13:N15,3,FALSE)</f>
        <v>838.38920658228176</v>
      </c>
    </row>
    <row r="16" spans="1:16" x14ac:dyDescent="0.25">
      <c r="A16" s="97" t="s">
        <v>8</v>
      </c>
      <c r="B16" s="98">
        <f>+B14/(24*B$8)</f>
        <v>0</v>
      </c>
      <c r="C16" s="98">
        <f>+C14/(24*C$8)</f>
        <v>0</v>
      </c>
      <c r="D16" s="98">
        <f>+D14/(24*D$8)</f>
        <v>0</v>
      </c>
      <c r="E16" s="98">
        <f>+E14/(24*E$8)</f>
        <v>0</v>
      </c>
      <c r="F16" s="98">
        <f t="shared" ref="F16:N16" si="1">+F14/(24*F$8)</f>
        <v>0</v>
      </c>
      <c r="G16" s="98">
        <f t="shared" si="1"/>
        <v>1890.0564516129032</v>
      </c>
      <c r="H16" s="98">
        <f t="shared" si="1"/>
        <v>0</v>
      </c>
      <c r="I16" s="98">
        <f t="shared" si="1"/>
        <v>0</v>
      </c>
      <c r="J16" s="98">
        <f t="shared" si="1"/>
        <v>0</v>
      </c>
      <c r="K16" s="98">
        <f t="shared" si="1"/>
        <v>0</v>
      </c>
      <c r="L16" s="98">
        <f t="shared" si="1"/>
        <v>0</v>
      </c>
      <c r="M16" s="98">
        <f t="shared" si="1"/>
        <v>0</v>
      </c>
      <c r="N16" s="37">
        <f t="shared" si="1"/>
        <v>0</v>
      </c>
      <c r="O16" s="6">
        <f>SUM(O14)/(24*O$8)</f>
        <v>160.52534246575343</v>
      </c>
      <c r="P16" s="4">
        <f>O14/(COUNTIF(B14:N14,"&gt;0")*720)</f>
        <v>1953.0583333333334</v>
      </c>
    </row>
    <row r="17" spans="1:16" x14ac:dyDescent="0.25">
      <c r="A17" s="97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0.96679999999999999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0.96679999999999999</v>
      </c>
    </row>
    <row r="18" spans="1:16" x14ac:dyDescent="0.25">
      <c r="A18" s="97" t="s">
        <v>17</v>
      </c>
      <c r="B18" s="98">
        <v>0.69</v>
      </c>
      <c r="C18" s="98" t="e">
        <f>+C16/C13</f>
        <v>#DIV/0!</v>
      </c>
      <c r="D18" s="98">
        <v>0.71</v>
      </c>
      <c r="E18" s="98">
        <v>0.56000000000000005</v>
      </c>
      <c r="F18" s="98">
        <v>0.47</v>
      </c>
      <c r="G18" s="98">
        <v>0.49</v>
      </c>
      <c r="H18" s="98">
        <v>0.61</v>
      </c>
      <c r="I18" s="98">
        <v>0.56999999999999995</v>
      </c>
      <c r="J18" s="98">
        <v>0.6</v>
      </c>
      <c r="K18" s="98">
        <v>0.56999999999999995</v>
      </c>
      <c r="L18" s="98">
        <v>0.56000000000000005</v>
      </c>
      <c r="M18" s="98">
        <v>0.73</v>
      </c>
      <c r="N18" s="98" t="e">
        <f>+N16/N13</f>
        <v>#DIV/0!</v>
      </c>
      <c r="O18" s="6"/>
      <c r="P18" s="4">
        <f>+P16/P13</f>
        <v>0.61571826397646068</v>
      </c>
    </row>
    <row r="19" spans="1:16" s="24" customFormat="1" x14ac:dyDescent="0.25">
      <c r="A19" s="271" t="s">
        <v>456</v>
      </c>
      <c r="B19" s="65"/>
      <c r="C19" s="65"/>
      <c r="D19" s="65"/>
      <c r="E19" s="65"/>
      <c r="F19" s="65"/>
      <c r="G19" s="66"/>
      <c r="H19" s="66"/>
      <c r="I19" s="66"/>
      <c r="J19" s="66"/>
      <c r="K19" s="36"/>
      <c r="L19" s="36"/>
      <c r="M19" s="36"/>
      <c r="N19" s="36"/>
      <c r="O19" s="36"/>
      <c r="P19" s="36"/>
    </row>
    <row r="20" spans="1:16" x14ac:dyDescent="0.25">
      <c r="A20" s="97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2431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2431</v>
      </c>
    </row>
    <row r="21" spans="1:16" x14ac:dyDescent="0.25">
      <c r="A21" s="97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1168642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1168642</v>
      </c>
      <c r="P21" s="43">
        <f>SUM(B21:N21)/(COUNTIF(B21:N21,"&gt;0"))</f>
        <v>1168642</v>
      </c>
    </row>
    <row r="22" spans="1:16" x14ac:dyDescent="0.25">
      <c r="A22" s="97" t="s">
        <v>16</v>
      </c>
      <c r="B22" s="98" t="e">
        <f t="shared" ref="B22:N22" si="2">+((B20/B24)^2-(B20^2))^(0.5)</f>
        <v>#DIV/0!</v>
      </c>
      <c r="C22" s="98" t="e">
        <f>+((C20/C24)^2-(C20^2))^(0.5)</f>
        <v>#DIV/0!</v>
      </c>
      <c r="D22" s="98" t="e">
        <f t="shared" si="2"/>
        <v>#DIV/0!</v>
      </c>
      <c r="E22" s="98" t="e">
        <f t="shared" si="2"/>
        <v>#DIV/0!</v>
      </c>
      <c r="F22" s="98" t="e">
        <f t="shared" si="2"/>
        <v>#DIV/0!</v>
      </c>
      <c r="G22" s="98">
        <f t="shared" si="2"/>
        <v>368.59062367031527</v>
      </c>
      <c r="H22" s="98" t="e">
        <f t="shared" si="2"/>
        <v>#DIV/0!</v>
      </c>
      <c r="I22" s="98" t="e">
        <f t="shared" si="2"/>
        <v>#DIV/0!</v>
      </c>
      <c r="J22" s="98" t="e">
        <f t="shared" si="2"/>
        <v>#DIV/0!</v>
      </c>
      <c r="K22" s="98" t="e">
        <f t="shared" si="2"/>
        <v>#DIV/0!</v>
      </c>
      <c r="L22" s="98" t="e">
        <f t="shared" si="2"/>
        <v>#DIV/0!</v>
      </c>
      <c r="M22" s="98" t="e">
        <f t="shared" si="2"/>
        <v>#DIV/0!</v>
      </c>
      <c r="N22" s="98" t="e">
        <f t="shared" si="2"/>
        <v>#DIV/0!</v>
      </c>
      <c r="O22" s="37"/>
      <c r="P22" s="4">
        <f>HLOOKUP(P20,B20:N22,3,FALSE)</f>
        <v>368.59062367031527</v>
      </c>
    </row>
    <row r="23" spans="1:16" x14ac:dyDescent="0.25">
      <c r="A23" s="97" t="s">
        <v>8</v>
      </c>
      <c r="B23" s="98">
        <f>+B21/(24*B$8)</f>
        <v>0</v>
      </c>
      <c r="C23" s="98">
        <f>+C21/(24*C$8)</f>
        <v>0</v>
      </c>
      <c r="D23" s="98">
        <f>+D21/(24*D$8)</f>
        <v>0</v>
      </c>
      <c r="E23" s="98">
        <f>+E21/(24*E$8)</f>
        <v>0</v>
      </c>
      <c r="F23" s="98">
        <f t="shared" ref="F23:N23" si="3">+F21/(24*F$8)</f>
        <v>0</v>
      </c>
      <c r="G23" s="98">
        <f t="shared" si="3"/>
        <v>1570.755376344086</v>
      </c>
      <c r="H23" s="98">
        <f t="shared" si="3"/>
        <v>0</v>
      </c>
      <c r="I23" s="98">
        <f t="shared" si="3"/>
        <v>0</v>
      </c>
      <c r="J23" s="98">
        <f t="shared" si="3"/>
        <v>0</v>
      </c>
      <c r="K23" s="98">
        <f t="shared" si="3"/>
        <v>0</v>
      </c>
      <c r="L23" s="98">
        <f t="shared" si="3"/>
        <v>0</v>
      </c>
      <c r="M23" s="98">
        <f t="shared" si="3"/>
        <v>0</v>
      </c>
      <c r="N23" s="37">
        <f t="shared" si="3"/>
        <v>0</v>
      </c>
      <c r="O23" s="6">
        <f>SUM(O21)/(24*O$8)</f>
        <v>133.4066210045662</v>
      </c>
      <c r="P23" s="4">
        <f>O21/(COUNTIF(B21:N21,"&gt;0")*720)</f>
        <v>1623.1138888888888</v>
      </c>
    </row>
    <row r="24" spans="1:16" x14ac:dyDescent="0.25">
      <c r="A24" s="97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0.98870000000000002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0.98870000000000002</v>
      </c>
    </row>
    <row r="25" spans="1:16" x14ac:dyDescent="0.25">
      <c r="A25" s="97" t="s">
        <v>17</v>
      </c>
      <c r="B25" s="98">
        <v>0.63</v>
      </c>
      <c r="C25" s="98" t="e">
        <f>+C23/C20</f>
        <v>#DIV/0!</v>
      </c>
      <c r="D25" s="98">
        <v>0.66</v>
      </c>
      <c r="E25" s="98">
        <v>0.66</v>
      </c>
      <c r="F25" s="98">
        <v>0.55000000000000004</v>
      </c>
      <c r="G25" s="98">
        <v>0.59</v>
      </c>
      <c r="H25" s="98">
        <v>0.68</v>
      </c>
      <c r="I25" s="98">
        <v>0.65</v>
      </c>
      <c r="J25" s="98">
        <v>0.68</v>
      </c>
      <c r="K25" s="98">
        <v>0.68</v>
      </c>
      <c r="L25" s="98">
        <v>0.67</v>
      </c>
      <c r="M25" s="98">
        <v>0.63</v>
      </c>
      <c r="N25" s="98" t="e">
        <f>+N23/N20</f>
        <v>#DIV/0!</v>
      </c>
      <c r="O25" s="6"/>
      <c r="P25" s="4">
        <f>+P23/P20</f>
        <v>0.66767333973216325</v>
      </c>
    </row>
    <row r="26" spans="1:16" s="24" customFormat="1" x14ac:dyDescent="0.25">
      <c r="A26" s="271" t="s">
        <v>457</v>
      </c>
      <c r="B26" s="65"/>
      <c r="C26" s="65"/>
      <c r="D26" s="65"/>
      <c r="E26" s="65"/>
      <c r="F26" s="65"/>
      <c r="G26" s="66"/>
      <c r="H26" s="66"/>
      <c r="I26" s="66"/>
      <c r="J26" s="66"/>
      <c r="K26" s="36"/>
      <c r="L26" s="36"/>
      <c r="M26" s="36"/>
      <c r="N26" s="36"/>
      <c r="O26" s="36"/>
      <c r="P26" s="36"/>
    </row>
    <row r="27" spans="1:16" x14ac:dyDescent="0.25">
      <c r="A27" s="97" t="s">
        <v>6</v>
      </c>
      <c r="B27" s="381">
        <f>VLOOKUP($A$26,TABLA_1[],5,FALSE)</f>
        <v>0</v>
      </c>
      <c r="C27" s="381">
        <f>VLOOKUP($A$26,TABLA_2[],5,FALSE)</f>
        <v>0</v>
      </c>
      <c r="D27" s="381">
        <f>VLOOKUP($A$26,TABLA_3[],5,FALSE)</f>
        <v>0</v>
      </c>
      <c r="E27" s="381">
        <f>VLOOKUP($A$26,TABLA_4[],5,FALSE)</f>
        <v>0</v>
      </c>
      <c r="F27" s="381">
        <f>VLOOKUP($A$26,TABLA_5[],5,FALSE)</f>
        <v>0</v>
      </c>
      <c r="G27" s="381">
        <f>VLOOKUP($A$26,TABLA_6[],5,FALSE)</f>
        <v>2554</v>
      </c>
      <c r="H27" s="381">
        <f>VLOOKUP($A$26,TABLA_7[],5,FALSE)</f>
        <v>0</v>
      </c>
      <c r="I27" s="381">
        <f>VLOOKUP($A$26,TABLA_8[],5,FALSE)</f>
        <v>0</v>
      </c>
      <c r="J27" s="381">
        <f>VLOOKUP($A$26,TABLA_9[],5,FALSE)</f>
        <v>0</v>
      </c>
      <c r="K27" s="381">
        <f>VLOOKUP($A$26,TABLA_10[],5,FALSE)</f>
        <v>0</v>
      </c>
      <c r="L27" s="381">
        <f>VLOOKUP($A$26,TABLA_11[],5,FALSE)</f>
        <v>0</v>
      </c>
      <c r="M27" s="381">
        <f>VLOOKUP($A$26,TABLA_12[],5,FALSE)</f>
        <v>0</v>
      </c>
      <c r="N27" s="381">
        <f>VLOOKUP($A$26,TABLA_13[],5,FALSE)</f>
        <v>0</v>
      </c>
      <c r="O27" s="6"/>
      <c r="P27" s="43">
        <f>MAX(B27:N27)</f>
        <v>2554</v>
      </c>
    </row>
    <row r="28" spans="1:16" x14ac:dyDescent="0.25">
      <c r="A28" s="97" t="s">
        <v>7</v>
      </c>
      <c r="B28" s="382">
        <f>VLOOKUP($A$26,TABLA_1[],8,FALSE)</f>
        <v>0</v>
      </c>
      <c r="C28" s="382">
        <f>VLOOKUP($A$26,TABLA_2[],8,FALSE)</f>
        <v>0</v>
      </c>
      <c r="D28" s="382">
        <f>VLOOKUP($A$26,TABLA_3[],8,FALSE)</f>
        <v>0</v>
      </c>
      <c r="E28" s="382">
        <f>VLOOKUP($A$26,TABLA_4[],8,FALSE)</f>
        <v>0</v>
      </c>
      <c r="F28" s="382">
        <f>VLOOKUP($A$26,TABLA_5[],8,FALSE)</f>
        <v>0</v>
      </c>
      <c r="G28" s="382">
        <f>VLOOKUP($A$26,TABLA_6[],8,FALSE)</f>
        <v>1137546</v>
      </c>
      <c r="H28" s="382">
        <f>VLOOKUP($A$26,TABLA_7[],8,FALSE)</f>
        <v>0</v>
      </c>
      <c r="I28" s="382">
        <f>VLOOKUP($A$26,TABLA_8[],8,FALSE)</f>
        <v>0</v>
      </c>
      <c r="J28" s="382">
        <f>VLOOKUP($A$26,TABLA_9[],8,FALSE)</f>
        <v>0</v>
      </c>
      <c r="K28" s="382">
        <f>VLOOKUP($A$26,TABLA_10[],8,FALSE)</f>
        <v>0</v>
      </c>
      <c r="L28" s="382">
        <f>VLOOKUP($A$26,TABLA_11[],8,FALSE)</f>
        <v>0</v>
      </c>
      <c r="M28" s="382">
        <f>VLOOKUP($A$26,TABLA_12[],8,FALSE)</f>
        <v>0</v>
      </c>
      <c r="N28" s="382">
        <f>VLOOKUP($A$26,TABLA_13[],8,FALSE)</f>
        <v>0</v>
      </c>
      <c r="O28" s="47">
        <f>SUM(B28:N28)</f>
        <v>1137546</v>
      </c>
      <c r="P28" s="43">
        <f>SUM(B28:N28)/(COUNTIF(B28:N28,"&gt;0"))</f>
        <v>1137546</v>
      </c>
    </row>
    <row r="29" spans="1:16" x14ac:dyDescent="0.25">
      <c r="A29" s="97" t="s">
        <v>16</v>
      </c>
      <c r="B29" s="98" t="e">
        <f t="shared" ref="B29:N29" si="4">+((B27/B31)^2-(B27^2))^(0.5)</f>
        <v>#DIV/0!</v>
      </c>
      <c r="C29" s="98" t="e">
        <f>+((C27/C31)^2-(C27^2))^(0.5)</f>
        <v>#DIV/0!</v>
      </c>
      <c r="D29" s="98" t="e">
        <f t="shared" si="4"/>
        <v>#DIV/0!</v>
      </c>
      <c r="E29" s="98" t="e">
        <f t="shared" si="4"/>
        <v>#DIV/0!</v>
      </c>
      <c r="F29" s="98" t="e">
        <f t="shared" si="4"/>
        <v>#DIV/0!</v>
      </c>
      <c r="G29" s="98">
        <f t="shared" si="4"/>
        <v>214.24577652303907</v>
      </c>
      <c r="H29" s="98" t="e">
        <f t="shared" si="4"/>
        <v>#DIV/0!</v>
      </c>
      <c r="I29" s="98" t="e">
        <f t="shared" si="4"/>
        <v>#DIV/0!</v>
      </c>
      <c r="J29" s="98" t="e">
        <f t="shared" si="4"/>
        <v>#DIV/0!</v>
      </c>
      <c r="K29" s="98" t="e">
        <f t="shared" si="4"/>
        <v>#DIV/0!</v>
      </c>
      <c r="L29" s="98" t="e">
        <f t="shared" si="4"/>
        <v>#DIV/0!</v>
      </c>
      <c r="M29" s="98">
        <f t="shared" si="4"/>
        <v>0</v>
      </c>
      <c r="N29" s="98">
        <f t="shared" si="4"/>
        <v>0</v>
      </c>
      <c r="O29" s="37"/>
      <c r="P29" s="4">
        <f>HLOOKUP(P27,B27:N29,3,FALSE)</f>
        <v>214.24577652303907</v>
      </c>
    </row>
    <row r="30" spans="1:16" x14ac:dyDescent="0.25">
      <c r="A30" s="97" t="s">
        <v>8</v>
      </c>
      <c r="B30" s="98">
        <f>+B28/(24*B$8)</f>
        <v>0</v>
      </c>
      <c r="C30" s="98">
        <f>+C28/(24*C$8)</f>
        <v>0</v>
      </c>
      <c r="D30" s="98">
        <f>+D28/(24*D$8)</f>
        <v>0</v>
      </c>
      <c r="E30" s="98">
        <f>+E28/(24*E$8)</f>
        <v>0</v>
      </c>
      <c r="F30" s="98">
        <f t="shared" ref="F30:N30" si="5">+F28/(24*F$8)</f>
        <v>0</v>
      </c>
      <c r="G30" s="98">
        <f t="shared" si="5"/>
        <v>1528.9596774193549</v>
      </c>
      <c r="H30" s="98">
        <f t="shared" si="5"/>
        <v>0</v>
      </c>
      <c r="I30" s="98">
        <f t="shared" si="5"/>
        <v>0</v>
      </c>
      <c r="J30" s="98">
        <f t="shared" si="5"/>
        <v>0</v>
      </c>
      <c r="K30" s="98">
        <f t="shared" si="5"/>
        <v>0</v>
      </c>
      <c r="L30" s="98">
        <f t="shared" si="5"/>
        <v>0</v>
      </c>
      <c r="M30" s="98">
        <f t="shared" si="5"/>
        <v>0</v>
      </c>
      <c r="N30" s="37">
        <f t="shared" si="5"/>
        <v>0</v>
      </c>
      <c r="O30" s="6">
        <f>SUM(O28)/(24*O$8)</f>
        <v>129.8568493150685</v>
      </c>
      <c r="P30" s="4">
        <f>O28/(COUNTIF(B28:N28,"&gt;0")*720)</f>
        <v>1579.925</v>
      </c>
    </row>
    <row r="31" spans="1:16" x14ac:dyDescent="0.25">
      <c r="A31" s="97" t="s">
        <v>9</v>
      </c>
      <c r="B31" s="383">
        <f>VLOOKUP($A$26,TABLA_1[],10,FALSE)</f>
        <v>0</v>
      </c>
      <c r="C31" s="383">
        <f>VLOOKUP($A$26,TABLA_2[],10,FALSE)</f>
        <v>0</v>
      </c>
      <c r="D31" s="383">
        <f>VLOOKUP($A$26,TABLA_3[],10,FALSE)</f>
        <v>0</v>
      </c>
      <c r="E31" s="383">
        <f>VLOOKUP($A$26,TABLA_4[],10,FALSE)</f>
        <v>0</v>
      </c>
      <c r="F31" s="383">
        <f>VLOOKUP($A$26,TABLA_5[],10,FALSE)</f>
        <v>0</v>
      </c>
      <c r="G31" s="383">
        <f>VLOOKUP($A$26,TABLA_6[],10,FALSE)</f>
        <v>0.99650000000000005</v>
      </c>
      <c r="H31" s="383">
        <f>VLOOKUP($A$26,TABLA_7[],10,FALSE)</f>
        <v>0</v>
      </c>
      <c r="I31" s="383">
        <f>VLOOKUP($A$26,TABLA_8[],10,FALSE)</f>
        <v>0</v>
      </c>
      <c r="J31" s="383">
        <f>VLOOKUP($A$26,TABLA_9[],10,FALSE)</f>
        <v>0</v>
      </c>
      <c r="K31" s="383">
        <f>VLOOKUP($A$26,TABLA_10[],10,FALSE)</f>
        <v>0</v>
      </c>
      <c r="L31" s="383">
        <f>VLOOKUP($A$26,TABLA_11[],10,FALSE)</f>
        <v>0</v>
      </c>
      <c r="M31" s="383">
        <f>VLOOKUP($A$26,TABLA_6[],10,FALSE)</f>
        <v>0.99650000000000005</v>
      </c>
      <c r="N31" s="383">
        <f>VLOOKUP($A$26,TABLA_6[],10,FALSE)</f>
        <v>0.99650000000000005</v>
      </c>
      <c r="O31" s="6"/>
      <c r="P31" s="4">
        <f>COS(ATAN(P29/P27))</f>
        <v>0.99649999999999994</v>
      </c>
    </row>
    <row r="32" spans="1:16" x14ac:dyDescent="0.25">
      <c r="A32" s="97" t="s">
        <v>17</v>
      </c>
      <c r="B32" s="98">
        <v>0.39</v>
      </c>
      <c r="C32" s="98" t="e">
        <f>+C30/C27</f>
        <v>#DIV/0!</v>
      </c>
      <c r="D32" s="98">
        <v>0.57999999999999996</v>
      </c>
      <c r="E32" s="98">
        <v>0.48</v>
      </c>
      <c r="F32" s="98">
        <v>0.64</v>
      </c>
      <c r="G32" s="98">
        <v>0.57999999999999996</v>
      </c>
      <c r="H32" s="98">
        <v>0.62</v>
      </c>
      <c r="I32" s="98">
        <v>0.65</v>
      </c>
      <c r="J32" s="98">
        <v>0.64</v>
      </c>
      <c r="K32" s="98">
        <v>0.65</v>
      </c>
      <c r="L32" s="98">
        <v>0.63</v>
      </c>
      <c r="M32" s="98">
        <v>0.64</v>
      </c>
      <c r="N32" s="98" t="e">
        <f>+N30/N27</f>
        <v>#DIV/0!</v>
      </c>
      <c r="O32" s="6"/>
      <c r="P32" s="4">
        <f>+P30/P27</f>
        <v>0.61860806577916994</v>
      </c>
    </row>
    <row r="33" spans="1:16" x14ac:dyDescent="0.25">
      <c r="A33" s="48"/>
      <c r="B33" s="91"/>
      <c r="C33" s="91"/>
      <c r="D33" s="91"/>
      <c r="E33" s="91"/>
      <c r="F33" s="91"/>
      <c r="G33" s="64"/>
      <c r="H33" s="64"/>
      <c r="I33" s="64"/>
      <c r="J33" s="64"/>
      <c r="K33" s="64"/>
      <c r="L33" s="64"/>
      <c r="M33" s="64"/>
      <c r="N33" s="83"/>
      <c r="O33" s="77"/>
      <c r="P33" s="83"/>
    </row>
    <row r="34" spans="1:16" x14ac:dyDescent="0.25">
      <c r="A34" s="48"/>
      <c r="B34" s="91"/>
      <c r="C34" s="91"/>
      <c r="D34" s="91"/>
      <c r="E34" s="91"/>
      <c r="F34" s="91"/>
      <c r="G34" s="64"/>
      <c r="H34" s="64"/>
      <c r="I34" s="64"/>
      <c r="J34" s="64"/>
      <c r="K34" s="64"/>
      <c r="L34" s="64"/>
      <c r="M34" s="64"/>
      <c r="N34" s="64"/>
      <c r="O34" s="64"/>
      <c r="P34" s="48"/>
    </row>
    <row r="35" spans="1:16" x14ac:dyDescent="0.25">
      <c r="A35" s="7" t="s">
        <v>10</v>
      </c>
      <c r="B35" s="72"/>
      <c r="C35" s="72"/>
      <c r="D35" s="72"/>
      <c r="E35" s="72"/>
      <c r="F35" s="72"/>
      <c r="G35" s="73"/>
      <c r="H35" s="73"/>
      <c r="I35" s="73"/>
      <c r="J35" s="73"/>
      <c r="K35" s="73"/>
      <c r="L35" s="53"/>
      <c r="M35" s="53"/>
      <c r="N35" s="53"/>
      <c r="O35" s="53"/>
      <c r="P35" s="8"/>
    </row>
    <row r="36" spans="1:16" x14ac:dyDescent="0.25">
      <c r="A36" s="9" t="s">
        <v>11</v>
      </c>
      <c r="B36" s="62">
        <f t="shared" ref="B36:N36" si="6">B20+B13+B27</f>
        <v>0</v>
      </c>
      <c r="C36" s="62">
        <f t="shared" si="6"/>
        <v>0</v>
      </c>
      <c r="D36" s="62">
        <f t="shared" si="6"/>
        <v>0</v>
      </c>
      <c r="E36" s="62">
        <f t="shared" si="6"/>
        <v>0</v>
      </c>
      <c r="F36" s="62">
        <f t="shared" si="6"/>
        <v>0</v>
      </c>
      <c r="G36" s="62">
        <f t="shared" si="6"/>
        <v>8157</v>
      </c>
      <c r="H36" s="62">
        <f t="shared" si="6"/>
        <v>0</v>
      </c>
      <c r="I36" s="62">
        <f t="shared" si="6"/>
        <v>0</v>
      </c>
      <c r="J36" s="62">
        <f t="shared" si="6"/>
        <v>0</v>
      </c>
      <c r="K36" s="62">
        <f t="shared" si="6"/>
        <v>0</v>
      </c>
      <c r="L36" s="62">
        <f t="shared" si="6"/>
        <v>0</v>
      </c>
      <c r="M36" s="62">
        <f t="shared" si="6"/>
        <v>0</v>
      </c>
      <c r="N36" s="62">
        <f t="shared" si="6"/>
        <v>0</v>
      </c>
      <c r="O36" s="54"/>
      <c r="P36" s="10">
        <f>MAX(B36:N36)</f>
        <v>8157</v>
      </c>
    </row>
    <row r="37" spans="1:16" x14ac:dyDescent="0.25">
      <c r="A37" s="9" t="s">
        <v>7</v>
      </c>
      <c r="B37" s="62">
        <f t="shared" ref="B37:N37" si="7">B21+B14+B28</f>
        <v>0</v>
      </c>
      <c r="C37" s="62">
        <f t="shared" si="7"/>
        <v>0</v>
      </c>
      <c r="D37" s="62">
        <f t="shared" si="7"/>
        <v>0</v>
      </c>
      <c r="E37" s="62">
        <f t="shared" si="7"/>
        <v>0</v>
      </c>
      <c r="F37" s="62">
        <f t="shared" si="7"/>
        <v>0</v>
      </c>
      <c r="G37" s="62">
        <f t="shared" si="7"/>
        <v>3712390</v>
      </c>
      <c r="H37" s="62">
        <f t="shared" si="7"/>
        <v>0</v>
      </c>
      <c r="I37" s="62">
        <f t="shared" si="7"/>
        <v>0</v>
      </c>
      <c r="J37" s="62">
        <f t="shared" si="7"/>
        <v>0</v>
      </c>
      <c r="K37" s="62">
        <f t="shared" si="7"/>
        <v>0</v>
      </c>
      <c r="L37" s="62">
        <f t="shared" si="7"/>
        <v>0</v>
      </c>
      <c r="M37" s="62">
        <f t="shared" si="7"/>
        <v>0</v>
      </c>
      <c r="N37" s="62">
        <f t="shared" si="7"/>
        <v>0</v>
      </c>
      <c r="O37" s="54"/>
      <c r="P37" s="10"/>
    </row>
    <row r="38" spans="1:16" x14ac:dyDescent="0.25">
      <c r="A38" s="272" t="s">
        <v>12</v>
      </c>
      <c r="B38" s="376" t="s">
        <v>495</v>
      </c>
      <c r="C38" s="246"/>
      <c r="D38" s="246"/>
      <c r="E38" s="246"/>
      <c r="F38" s="246"/>
      <c r="G38" s="247"/>
      <c r="H38" s="247"/>
      <c r="I38" s="247"/>
      <c r="J38" s="247"/>
      <c r="K38" s="36"/>
      <c r="L38" s="36"/>
      <c r="M38" s="36"/>
      <c r="N38" s="36"/>
      <c r="O38" s="36"/>
      <c r="P38" s="3"/>
    </row>
    <row r="39" spans="1:16" x14ac:dyDescent="0.25">
      <c r="A39" s="3" t="s">
        <v>6</v>
      </c>
      <c r="B39" s="389">
        <f>VLOOKUP($B$38,BancoTabla_1[],5,FALSE)</f>
        <v>0</v>
      </c>
      <c r="C39" s="389">
        <f>VLOOKUP($B$38,BancoTabla_2[],5,FALSE)</f>
        <v>0</v>
      </c>
      <c r="D39" s="389">
        <f>VLOOKUP($B$38,BancoTabla_3[],5,FALSE)</f>
        <v>0</v>
      </c>
      <c r="E39" s="389">
        <f>VLOOKUP($B$38,BancoTabla_4[],5,FALSE)</f>
        <v>0</v>
      </c>
      <c r="F39" s="389">
        <f>VLOOKUP($B$38,BancoTabla_5[],5,FALSE)</f>
        <v>0</v>
      </c>
      <c r="G39" s="389">
        <f>VLOOKUP($B$38,BancoTabla_6[],5,FALSE)</f>
        <v>8599</v>
      </c>
      <c r="H39" s="389">
        <f>VLOOKUP($B$38,BancoTabla_7[],5,FALSE)</f>
        <v>0</v>
      </c>
      <c r="I39" s="389">
        <f>VLOOKUP($B$38,BancoTabla_8[],5,FALSE)</f>
        <v>0</v>
      </c>
      <c r="J39" s="389">
        <f>VLOOKUP($B$38,BancoTabla_9[],5,FALSE)</f>
        <v>0</v>
      </c>
      <c r="K39" s="389">
        <f>VLOOKUP($B$38,BancoTabla_10[],5,FALSE)</f>
        <v>0</v>
      </c>
      <c r="L39" s="389">
        <f>VLOOKUP($B$38,BancoTabla_11[],5,FALSE)</f>
        <v>0</v>
      </c>
      <c r="M39" s="389">
        <f>VLOOKUP($B$38,BancoTabla_12[],5,FALSE)</f>
        <v>0</v>
      </c>
      <c r="N39" s="389">
        <f>VLOOKUP($B$38,BancoTabla_13[],5,FALSE)</f>
        <v>0</v>
      </c>
      <c r="O39" s="79"/>
      <c r="P39" s="43">
        <f>MAX(B39:N39)</f>
        <v>8599</v>
      </c>
    </row>
    <row r="40" spans="1:16" x14ac:dyDescent="0.25">
      <c r="A40" s="3" t="s">
        <v>7</v>
      </c>
      <c r="B40" s="391">
        <f>VLOOKUP($B$38,BancoTabla_1[],8,FALSE)</f>
        <v>0</v>
      </c>
      <c r="C40" s="391">
        <f>VLOOKUP($B$38,BancoTabla_2[],8,FALSE)</f>
        <v>0</v>
      </c>
      <c r="D40" s="391">
        <f>VLOOKUP($B$38,BancoTabla_3[],8,FALSE)</f>
        <v>0</v>
      </c>
      <c r="E40" s="391">
        <f>VLOOKUP($B$38,BancoTabla_4[],8,FALSE)</f>
        <v>0</v>
      </c>
      <c r="F40" s="391">
        <f>VLOOKUP($B$38,BancoTabla_5[],8,FALSE)</f>
        <v>0</v>
      </c>
      <c r="G40" s="391">
        <f>VLOOKUP($B$38,BancoTabla_6[],8,FALSE)</f>
        <v>-1</v>
      </c>
      <c r="H40" s="391">
        <f>VLOOKUP($B$38,BancoTabla_7[],8,FALSE)</f>
        <v>0</v>
      </c>
      <c r="I40" s="391">
        <f>VLOOKUP($B$38,BancoTabla_8[],8,FALSE)</f>
        <v>0</v>
      </c>
      <c r="J40" s="391">
        <f>VLOOKUP($B$38,BancoTabla_9[],8,FALSE)</f>
        <v>0</v>
      </c>
      <c r="K40" s="391">
        <f>VLOOKUP($B$38,BancoTabla_10[],8,FALSE)</f>
        <v>0</v>
      </c>
      <c r="L40" s="391">
        <f>VLOOKUP($B$38,BancoTabla_11[],8,FALSE)</f>
        <v>0</v>
      </c>
      <c r="M40" s="391">
        <f>VLOOKUP($B$38,BancoTabla_12[],8,FALSE)</f>
        <v>0</v>
      </c>
      <c r="N40" s="391">
        <f>VLOOKUP($B$38,BancoTabla_13[],8,FALSE)</f>
        <v>0</v>
      </c>
      <c r="O40" s="47">
        <f>SUM(B40:N40)</f>
        <v>-1</v>
      </c>
      <c r="P40" s="4" t="e">
        <f>SUM(B40:N40)/(COUNTIF(B40:N40,"&gt;0"))</f>
        <v>#DIV/0!</v>
      </c>
    </row>
    <row r="41" spans="1:16" x14ac:dyDescent="0.25">
      <c r="A41" s="3" t="s">
        <v>16</v>
      </c>
      <c r="B41" s="37" t="e">
        <f t="shared" ref="B41:M41" si="8">+((B39/B43)^2-(B39^2))^(0.5)</f>
        <v>#DIV/0!</v>
      </c>
      <c r="C41" s="37" t="e">
        <f>+((C39/C43)^2-(C39^2))^(0.5)</f>
        <v>#DIV/0!</v>
      </c>
      <c r="D41" s="37" t="e">
        <f t="shared" si="8"/>
        <v>#DIV/0!</v>
      </c>
      <c r="E41" s="37" t="e">
        <f t="shared" si="8"/>
        <v>#DIV/0!</v>
      </c>
      <c r="F41" s="37" t="e">
        <f t="shared" si="8"/>
        <v>#DIV/0!</v>
      </c>
      <c r="G41" s="37">
        <f t="shared" si="8"/>
        <v>954.16144189198849</v>
      </c>
      <c r="H41" s="37" t="e">
        <f t="shared" si="8"/>
        <v>#DIV/0!</v>
      </c>
      <c r="I41" s="37" t="e">
        <f t="shared" si="8"/>
        <v>#DIV/0!</v>
      </c>
      <c r="J41" s="37" t="e">
        <f t="shared" si="8"/>
        <v>#DIV/0!</v>
      </c>
      <c r="K41" s="37" t="e">
        <f t="shared" si="8"/>
        <v>#DIV/0!</v>
      </c>
      <c r="L41" s="37" t="e">
        <f t="shared" si="8"/>
        <v>#DIV/0!</v>
      </c>
      <c r="M41" s="37" t="e">
        <f t="shared" si="8"/>
        <v>#DIV/0!</v>
      </c>
      <c r="N41" s="37" t="e">
        <f>+((N39/N43)^2-(N39^2))^(0.5)</f>
        <v>#DIV/0!</v>
      </c>
      <c r="O41" s="37"/>
      <c r="P41" s="4">
        <f>HLOOKUP(P39,B39:N41,3,FALSE)</f>
        <v>954.16144189198849</v>
      </c>
    </row>
    <row r="42" spans="1:16" x14ac:dyDescent="0.25">
      <c r="A42" s="3" t="s">
        <v>8</v>
      </c>
      <c r="B42" s="37">
        <f>+B40/(24*B$8)</f>
        <v>0</v>
      </c>
      <c r="C42" s="37">
        <f>+C40/(24*C$8)</f>
        <v>0</v>
      </c>
      <c r="D42" s="37">
        <f>+D40/(24*D$8)</f>
        <v>0</v>
      </c>
      <c r="E42" s="37">
        <f>+E40/(24*E$8)</f>
        <v>0</v>
      </c>
      <c r="F42" s="37">
        <f t="shared" ref="F42:M42" si="9">+F40/(24*F$8)</f>
        <v>0</v>
      </c>
      <c r="G42" s="37">
        <f t="shared" si="9"/>
        <v>-1.3440860215053765E-3</v>
      </c>
      <c r="H42" s="37">
        <f t="shared" si="9"/>
        <v>0</v>
      </c>
      <c r="I42" s="37">
        <f t="shared" si="9"/>
        <v>0</v>
      </c>
      <c r="J42" s="37">
        <f t="shared" si="9"/>
        <v>0</v>
      </c>
      <c r="K42" s="37">
        <f>+K40/(24*K$8)</f>
        <v>0</v>
      </c>
      <c r="L42" s="37">
        <f t="shared" si="9"/>
        <v>0</v>
      </c>
      <c r="M42" s="37">
        <f t="shared" si="9"/>
        <v>0</v>
      </c>
      <c r="N42" s="37">
        <f>+N40/(24*N$8)</f>
        <v>0</v>
      </c>
      <c r="O42" s="6">
        <f>SUM(O40)/(24*O$8)</f>
        <v>-1.1415525114155251E-4</v>
      </c>
      <c r="P42" s="4" t="e">
        <f>O40/(COUNTIF(B40:N40,"&gt;0")*720)</f>
        <v>#DIV/0!</v>
      </c>
    </row>
    <row r="43" spans="1:16" x14ac:dyDescent="0.25">
      <c r="A43" s="3" t="s">
        <v>9</v>
      </c>
      <c r="B43" s="393">
        <f>VLOOKUP($B$38,BancoTabla_1[],10,FALSE)</f>
        <v>0</v>
      </c>
      <c r="C43" s="393">
        <f>VLOOKUP($B$38,BancoTabla_2[],10,FALSE)</f>
        <v>0</v>
      </c>
      <c r="D43" s="393">
        <f>VLOOKUP($B$38,BancoTabla_3[],10,FALSE)</f>
        <v>0</v>
      </c>
      <c r="E43" s="393">
        <f>VLOOKUP($B$38,BancoTabla_4[],10,FALSE)</f>
        <v>0</v>
      </c>
      <c r="F43" s="393">
        <f>VLOOKUP($B$38,BancoTabla_5[],10,FALSE)</f>
        <v>0</v>
      </c>
      <c r="G43" s="393">
        <f>VLOOKUP($B$38,BancoTabla_6[],10,FALSE)</f>
        <v>0.99390000000000001</v>
      </c>
      <c r="H43" s="393">
        <f>VLOOKUP($B$38,BancoTabla_7[],10,FALSE)</f>
        <v>0</v>
      </c>
      <c r="I43" s="393">
        <f>VLOOKUP($B$38,BancoTabla_8[],10,FALSE)</f>
        <v>0</v>
      </c>
      <c r="J43" s="393">
        <f>VLOOKUP($B$38,BancoTabla_9[],10,FALSE)</f>
        <v>0</v>
      </c>
      <c r="K43" s="393">
        <f>VLOOKUP($B$38,BancoTabla_10[],10,FALSE)</f>
        <v>0</v>
      </c>
      <c r="L43" s="393">
        <f>VLOOKUP($B$38,BancoTabla_11[],10,FALSE)</f>
        <v>0</v>
      </c>
      <c r="M43" s="393">
        <f>VLOOKUP($B$38,BancoTabla_12[],10,FALSE)</f>
        <v>0</v>
      </c>
      <c r="N43" s="393">
        <f>VLOOKUP($B$38,BancoTabla_13[],10,FALSE)</f>
        <v>0</v>
      </c>
      <c r="O43" s="6"/>
      <c r="P43" s="4">
        <f>COS(ATAN(P41/P39))</f>
        <v>0.99389999999999989</v>
      </c>
    </row>
    <row r="44" spans="1:16" x14ac:dyDescent="0.25">
      <c r="A44" s="3" t="s">
        <v>17</v>
      </c>
      <c r="B44" s="37">
        <v>0.66</v>
      </c>
      <c r="C44" s="37">
        <v>0.68</v>
      </c>
      <c r="D44" s="37">
        <v>0.69</v>
      </c>
      <c r="E44" s="37">
        <v>0.59</v>
      </c>
      <c r="F44" s="37">
        <v>0.59</v>
      </c>
      <c r="G44" s="37">
        <v>0.59</v>
      </c>
      <c r="H44" s="37">
        <v>0.64</v>
      </c>
      <c r="I44" s="37">
        <v>0.68</v>
      </c>
      <c r="J44" s="37">
        <v>0.69</v>
      </c>
      <c r="K44" s="37">
        <v>0.67</v>
      </c>
      <c r="L44" s="37">
        <v>0.65</v>
      </c>
      <c r="M44" s="37">
        <v>0.7</v>
      </c>
      <c r="N44" s="37" t="e">
        <f>+N42/N39</f>
        <v>#DIV/0!</v>
      </c>
      <c r="O44" s="6"/>
      <c r="P44" s="4" t="e">
        <f>+P42/P39</f>
        <v>#DIV/0!</v>
      </c>
    </row>
    <row r="45" spans="1:16" x14ac:dyDescent="0.25">
      <c r="A45" s="3" t="s">
        <v>18</v>
      </c>
      <c r="B45" s="37" t="e">
        <f>+B36/B39</f>
        <v>#DIV/0!</v>
      </c>
      <c r="C45" s="37" t="e">
        <f>+C36/C39</f>
        <v>#DIV/0!</v>
      </c>
      <c r="D45" s="37" t="e">
        <f t="shared" ref="D45:N45" si="10">+D36/D39</f>
        <v>#DIV/0!</v>
      </c>
      <c r="E45" s="37" t="e">
        <f t="shared" si="10"/>
        <v>#DIV/0!</v>
      </c>
      <c r="F45" s="37" t="e">
        <f t="shared" si="10"/>
        <v>#DIV/0!</v>
      </c>
      <c r="G45" s="37">
        <f t="shared" si="10"/>
        <v>0.94859867426444933</v>
      </c>
      <c r="H45" s="37" t="e">
        <f t="shared" si="10"/>
        <v>#DIV/0!</v>
      </c>
      <c r="I45" s="37" t="e">
        <f t="shared" si="10"/>
        <v>#DIV/0!</v>
      </c>
      <c r="J45" s="37" t="e">
        <f t="shared" si="10"/>
        <v>#DIV/0!</v>
      </c>
      <c r="K45" s="37" t="e">
        <f t="shared" si="10"/>
        <v>#DIV/0!</v>
      </c>
      <c r="L45" s="37" t="e">
        <f t="shared" si="10"/>
        <v>#DIV/0!</v>
      </c>
      <c r="M45" s="37" t="e">
        <f t="shared" si="10"/>
        <v>#DIV/0!</v>
      </c>
      <c r="N45" s="37" t="e">
        <f t="shared" si="10"/>
        <v>#DIV/0!</v>
      </c>
      <c r="O45" s="6"/>
      <c r="P45" s="4">
        <f>+P36/P39</f>
        <v>0.94859867426444933</v>
      </c>
    </row>
    <row r="46" spans="1:16" x14ac:dyDescent="0.25">
      <c r="A46" s="3" t="s">
        <v>19</v>
      </c>
      <c r="B46" s="37">
        <f t="shared" ref="B46:N46" si="11">+B39/$B$47</f>
        <v>0</v>
      </c>
      <c r="C46" s="37">
        <f>+C39/$B$47</f>
        <v>0</v>
      </c>
      <c r="D46" s="37">
        <f t="shared" si="11"/>
        <v>0</v>
      </c>
      <c r="E46" s="37">
        <f t="shared" si="11"/>
        <v>0</v>
      </c>
      <c r="F46" s="37">
        <f t="shared" si="11"/>
        <v>0</v>
      </c>
      <c r="G46" s="37">
        <f t="shared" si="11"/>
        <v>0.92285608880839809</v>
      </c>
      <c r="H46" s="37">
        <f t="shared" si="11"/>
        <v>0</v>
      </c>
      <c r="I46" s="37">
        <f t="shared" si="11"/>
        <v>0</v>
      </c>
      <c r="J46" s="37">
        <f t="shared" si="11"/>
        <v>0</v>
      </c>
      <c r="K46" s="37">
        <f>+K39/$B$47</f>
        <v>0</v>
      </c>
      <c r="L46" s="37">
        <f t="shared" si="11"/>
        <v>0</v>
      </c>
      <c r="M46" s="37">
        <f t="shared" si="11"/>
        <v>0</v>
      </c>
      <c r="N46" s="37">
        <f t="shared" si="11"/>
        <v>0</v>
      </c>
      <c r="O46" s="6"/>
      <c r="P46" s="4">
        <f>+P39/B47</f>
        <v>0.92285608880839809</v>
      </c>
    </row>
    <row r="47" spans="1:16" x14ac:dyDescent="0.25">
      <c r="A47" s="3" t="s">
        <v>20</v>
      </c>
      <c r="B47" s="37">
        <f>9.375*P43*1000</f>
        <v>9317.8124999999982</v>
      </c>
      <c r="C47" s="37"/>
      <c r="D47" s="37"/>
      <c r="E47" s="37"/>
      <c r="F47" s="37"/>
      <c r="G47" s="37"/>
      <c r="H47" s="37"/>
      <c r="I47" s="37"/>
      <c r="J47" s="37"/>
      <c r="K47" s="37"/>
      <c r="L47" s="37"/>
      <c r="M47" s="37"/>
      <c r="N47" s="37"/>
      <c r="O47" s="37"/>
      <c r="P47" s="4"/>
    </row>
    <row r="48" spans="1:16" x14ac:dyDescent="0.25">
      <c r="B48" s="237">
        <f>B39/$B$47</f>
        <v>0</v>
      </c>
      <c r="C48" s="237"/>
      <c r="D48" s="237">
        <f t="shared" ref="D48:N48" si="12">D39/$B$47</f>
        <v>0</v>
      </c>
      <c r="E48" s="237">
        <f t="shared" si="12"/>
        <v>0</v>
      </c>
      <c r="F48" s="237">
        <f t="shared" si="12"/>
        <v>0</v>
      </c>
      <c r="G48" s="237">
        <f t="shared" si="12"/>
        <v>0.92285608880839809</v>
      </c>
      <c r="H48" s="237">
        <f t="shared" si="12"/>
        <v>0</v>
      </c>
      <c r="I48" s="237">
        <f t="shared" si="12"/>
        <v>0</v>
      </c>
      <c r="J48" s="237">
        <f t="shared" si="12"/>
        <v>0</v>
      </c>
      <c r="K48" s="237">
        <f t="shared" si="12"/>
        <v>0</v>
      </c>
      <c r="L48" s="237">
        <f t="shared" si="12"/>
        <v>0</v>
      </c>
      <c r="M48" s="237">
        <f t="shared" si="12"/>
        <v>0</v>
      </c>
      <c r="N48" s="237">
        <f t="shared" si="12"/>
        <v>0</v>
      </c>
    </row>
    <row r="49" spans="1:16" x14ac:dyDescent="0.25"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</row>
    <row r="50" spans="1:16" x14ac:dyDescent="0.25">
      <c r="A50" s="15" t="s">
        <v>14</v>
      </c>
      <c r="B50" s="57"/>
      <c r="C50" s="57"/>
      <c r="D50" s="57"/>
      <c r="E50" s="57"/>
      <c r="F50" s="57"/>
      <c r="G50" s="57"/>
      <c r="H50" s="57"/>
      <c r="I50" s="57"/>
      <c r="J50" s="57"/>
      <c r="K50" s="57"/>
      <c r="L50" s="57"/>
      <c r="M50" s="57"/>
      <c r="N50" s="57"/>
      <c r="O50" s="16"/>
      <c r="P50" s="16"/>
    </row>
    <row r="51" spans="1:16" x14ac:dyDescent="0.25">
      <c r="A51" s="16" t="s">
        <v>11</v>
      </c>
      <c r="B51" s="63">
        <f t="shared" ref="B51:N51" si="13">B39</f>
        <v>0</v>
      </c>
      <c r="C51" s="63">
        <f>C39</f>
        <v>0</v>
      </c>
      <c r="D51" s="63">
        <f t="shared" si="13"/>
        <v>0</v>
      </c>
      <c r="E51" s="63">
        <f t="shared" si="13"/>
        <v>0</v>
      </c>
      <c r="F51" s="63">
        <f t="shared" si="13"/>
        <v>0</v>
      </c>
      <c r="G51" s="63">
        <f t="shared" si="13"/>
        <v>8599</v>
      </c>
      <c r="H51" s="63">
        <f t="shared" si="13"/>
        <v>0</v>
      </c>
      <c r="I51" s="63">
        <f t="shared" si="13"/>
        <v>0</v>
      </c>
      <c r="J51" s="63">
        <f t="shared" si="13"/>
        <v>0</v>
      </c>
      <c r="K51" s="63">
        <f t="shared" si="13"/>
        <v>0</v>
      </c>
      <c r="L51" s="63">
        <f t="shared" si="13"/>
        <v>0</v>
      </c>
      <c r="M51" s="63">
        <f t="shared" si="13"/>
        <v>0</v>
      </c>
      <c r="N51" s="63">
        <f t="shared" si="13"/>
        <v>0</v>
      </c>
      <c r="O51" s="16"/>
      <c r="P51" s="45">
        <f>MAX(B51:N51)</f>
        <v>8599</v>
      </c>
    </row>
    <row r="52" spans="1:16" x14ac:dyDescent="0.25">
      <c r="A52" s="16" t="s">
        <v>7</v>
      </c>
      <c r="B52" s="63">
        <f t="shared" ref="B52:N52" si="14">+B40</f>
        <v>0</v>
      </c>
      <c r="C52" s="63">
        <f>+C40</f>
        <v>0</v>
      </c>
      <c r="D52" s="63">
        <f t="shared" si="14"/>
        <v>0</v>
      </c>
      <c r="E52" s="63">
        <f t="shared" si="14"/>
        <v>0</v>
      </c>
      <c r="F52" s="63">
        <f t="shared" si="14"/>
        <v>0</v>
      </c>
      <c r="G52" s="63">
        <f t="shared" si="14"/>
        <v>-1</v>
      </c>
      <c r="H52" s="63">
        <f t="shared" si="14"/>
        <v>0</v>
      </c>
      <c r="I52" s="63">
        <f t="shared" si="14"/>
        <v>0</v>
      </c>
      <c r="J52" s="63">
        <f t="shared" si="14"/>
        <v>0</v>
      </c>
      <c r="K52" s="63">
        <f t="shared" si="14"/>
        <v>0</v>
      </c>
      <c r="L52" s="63">
        <f t="shared" si="14"/>
        <v>0</v>
      </c>
      <c r="M52" s="63">
        <f t="shared" si="14"/>
        <v>0</v>
      </c>
      <c r="N52" s="63">
        <f t="shared" si="14"/>
        <v>0</v>
      </c>
      <c r="P52" s="39"/>
    </row>
    <row r="53" spans="1:16" x14ac:dyDescent="0.25"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P53" s="39"/>
    </row>
    <row r="54" spans="1:16" x14ac:dyDescent="0.25">
      <c r="A54" s="12" t="s">
        <v>21</v>
      </c>
      <c r="B54" s="70"/>
      <c r="C54" s="70"/>
      <c r="D54" s="70"/>
      <c r="E54" s="70"/>
      <c r="F54" s="70"/>
      <c r="G54" s="71"/>
      <c r="H54" s="71"/>
      <c r="I54" s="71"/>
      <c r="J54" s="71"/>
      <c r="K54" s="67"/>
      <c r="L54" s="67"/>
      <c r="M54" s="67"/>
      <c r="N54" s="67"/>
      <c r="O54" s="67"/>
      <c r="P54" s="44"/>
    </row>
    <row r="55" spans="1:16" x14ac:dyDescent="0.25">
      <c r="A55" s="99" t="s">
        <v>6</v>
      </c>
      <c r="B55" s="101">
        <f>B51</f>
        <v>0</v>
      </c>
      <c r="C55" s="101">
        <f>C51</f>
        <v>0</v>
      </c>
      <c r="D55" s="101">
        <f t="shared" ref="D55:M55" si="15">D51</f>
        <v>0</v>
      </c>
      <c r="E55" s="101">
        <f t="shared" si="15"/>
        <v>0</v>
      </c>
      <c r="F55" s="101">
        <f t="shared" si="15"/>
        <v>0</v>
      </c>
      <c r="G55" s="101">
        <f t="shared" si="15"/>
        <v>8599</v>
      </c>
      <c r="H55" s="101">
        <f t="shared" si="15"/>
        <v>0</v>
      </c>
      <c r="I55" s="101">
        <f t="shared" si="15"/>
        <v>0</v>
      </c>
      <c r="J55" s="101">
        <f t="shared" si="15"/>
        <v>0</v>
      </c>
      <c r="K55" s="101">
        <f t="shared" si="15"/>
        <v>0</v>
      </c>
      <c r="L55" s="101">
        <f t="shared" si="15"/>
        <v>0</v>
      </c>
      <c r="M55" s="101">
        <f t="shared" si="15"/>
        <v>0</v>
      </c>
      <c r="N55" s="101">
        <f>N51</f>
        <v>0</v>
      </c>
      <c r="O55" s="102"/>
      <c r="P55" s="100">
        <f>MAX(B55:N55)</f>
        <v>8599</v>
      </c>
    </row>
    <row r="56" spans="1:16" x14ac:dyDescent="0.25">
      <c r="A56" s="103"/>
      <c r="B56" s="103" t="e">
        <f t="shared" ref="B56:M56" si="16">+B51/B55</f>
        <v>#DIV/0!</v>
      </c>
      <c r="C56" s="103" t="e">
        <f>+C51/C55</f>
        <v>#DIV/0!</v>
      </c>
      <c r="D56" s="103" t="e">
        <f t="shared" si="16"/>
        <v>#DIV/0!</v>
      </c>
      <c r="E56" s="103" t="e">
        <f t="shared" si="16"/>
        <v>#DIV/0!</v>
      </c>
      <c r="F56" s="103" t="e">
        <f t="shared" si="16"/>
        <v>#DIV/0!</v>
      </c>
      <c r="G56" s="103">
        <f t="shared" si="16"/>
        <v>1</v>
      </c>
      <c r="H56" s="103" t="e">
        <f t="shared" si="16"/>
        <v>#DIV/0!</v>
      </c>
      <c r="I56" s="103" t="e">
        <f t="shared" si="16"/>
        <v>#DIV/0!</v>
      </c>
      <c r="J56" s="103" t="e">
        <f t="shared" si="16"/>
        <v>#DIV/0!</v>
      </c>
      <c r="K56" s="103" t="e">
        <f t="shared" si="16"/>
        <v>#DIV/0!</v>
      </c>
      <c r="L56" s="103" t="e">
        <f t="shared" si="16"/>
        <v>#DIV/0!</v>
      </c>
      <c r="M56" s="103" t="e">
        <f t="shared" si="16"/>
        <v>#DIV/0!</v>
      </c>
      <c r="N56" s="103" t="e">
        <f>+N51/N55</f>
        <v>#DIV/0!</v>
      </c>
      <c r="O56" s="5"/>
      <c r="P56" s="103">
        <f>+P51/P55</f>
        <v>1</v>
      </c>
    </row>
    <row r="59" spans="1:16" x14ac:dyDescent="0.25">
      <c r="G59" s="61" t="s">
        <v>160</v>
      </c>
      <c r="H59" s="145">
        <f>P5+P13+P20+P27</f>
        <v>8157</v>
      </c>
    </row>
    <row r="60" spans="1:16" x14ac:dyDescent="0.25">
      <c r="G60" s="61" t="s">
        <v>161</v>
      </c>
      <c r="H60" s="145">
        <f>P39</f>
        <v>8599</v>
      </c>
    </row>
    <row r="61" spans="1:16" x14ac:dyDescent="0.25">
      <c r="G61" s="146" t="s">
        <v>162</v>
      </c>
      <c r="H61" s="147">
        <f>H59/H60</f>
        <v>0.94859867426444933</v>
      </c>
    </row>
    <row r="63" spans="1:16" x14ac:dyDescent="0.25">
      <c r="A63" s="271" t="s">
        <v>263</v>
      </c>
    </row>
    <row r="94" spans="1:1" x14ac:dyDescent="0.25">
      <c r="A94" s="271" t="s">
        <v>264</v>
      </c>
    </row>
    <row r="125" spans="1:1" x14ac:dyDescent="0.25">
      <c r="A125" s="271" t="s">
        <v>265</v>
      </c>
    </row>
    <row r="156" spans="1:1" x14ac:dyDescent="0.25">
      <c r="A156" s="272" t="s">
        <v>12</v>
      </c>
    </row>
  </sheetData>
  <mergeCells count="21">
    <mergeCell ref="O9:O10"/>
    <mergeCell ref="P9:P10"/>
    <mergeCell ref="F9:F10"/>
    <mergeCell ref="G9:G10"/>
    <mergeCell ref="H9:H10"/>
    <mergeCell ref="I9:I10"/>
    <mergeCell ref="J9:J10"/>
    <mergeCell ref="K9:K10"/>
    <mergeCell ref="N9:N10"/>
    <mergeCell ref="M9:M10"/>
    <mergeCell ref="E2:M2"/>
    <mergeCell ref="E3:M3"/>
    <mergeCell ref="E4:M4"/>
    <mergeCell ref="E5:M5"/>
    <mergeCell ref="E6:M6"/>
    <mergeCell ref="A9:A10"/>
    <mergeCell ref="B9:B10"/>
    <mergeCell ref="D9:D10"/>
    <mergeCell ref="E9:E10"/>
    <mergeCell ref="L9:L10"/>
    <mergeCell ref="C9:C10"/>
  </mergeCells>
  <phoneticPr fontId="17" type="noConversion"/>
  <printOptions horizontalCentered="1" verticalCentered="1"/>
  <pageMargins left="0.19685039370078741" right="0.19685039370078741" top="0.19685039370078741" bottom="0.19685039370078741" header="0" footer="0"/>
  <pageSetup fitToWidth="0" orientation="landscape" horizontalDpi="300" verticalDpi="300" r:id="rId1"/>
  <headerFooter alignWithMargins="0"/>
  <drawing r:id="rId2"/>
  <legacy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 codeName="Hoja18">
    <tabColor indexed="52"/>
  </sheetPr>
  <dimension ref="A2:R119"/>
  <sheetViews>
    <sheetView zoomScale="130" zoomScaleNormal="130" zoomScaleSheetLayoutView="75" workbookViewId="0">
      <selection activeCell="O37" sqref="O37"/>
    </sheetView>
  </sheetViews>
  <sheetFormatPr baseColWidth="10" defaultRowHeight="13.2" x14ac:dyDescent="0.25"/>
  <cols>
    <col min="1" max="16" width="15.6640625" customWidth="1"/>
  </cols>
  <sheetData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46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SUM(B8:N8)</f>
        <v>396</v>
      </c>
      <c r="P8" s="19">
        <f>+O8/12</f>
        <v>33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266</v>
      </c>
      <c r="B12" s="65"/>
      <c r="C12" s="65"/>
      <c r="D12" s="65"/>
      <c r="E12" s="65"/>
      <c r="F12" s="65"/>
      <c r="G12" s="66"/>
      <c r="H12" s="66"/>
      <c r="I12" s="66"/>
      <c r="J12" s="66"/>
      <c r="K12" s="36"/>
      <c r="L12" s="36"/>
      <c r="M12" s="36"/>
      <c r="N12" s="36"/>
      <c r="O12" s="36"/>
      <c r="P12" s="36"/>
    </row>
    <row r="13" spans="1:16" x14ac:dyDescent="0.25">
      <c r="A13" s="97" t="s">
        <v>6</v>
      </c>
      <c r="B13" s="380" t="e">
        <f>VLOOKUP($A$12,TABLA_1[],5,FALSE)</f>
        <v>#N/A</v>
      </c>
      <c r="C13" s="380" t="e">
        <f>VLOOKUP($A$12,TABLA_2[],5,FALSE)</f>
        <v>#N/A</v>
      </c>
      <c r="D13" s="380" t="e">
        <f>VLOOKUP($A$12,TABLA_3[],5,FALSE)</f>
        <v>#N/A</v>
      </c>
      <c r="E13" s="380" t="e">
        <f>VLOOKUP($A$12,TABLA_4[],5,FALSE)</f>
        <v>#N/A</v>
      </c>
      <c r="F13" s="380" t="e">
        <f>VLOOKUP($A$12,TABLA_5[],5,FALSE)</f>
        <v>#N/A</v>
      </c>
      <c r="G13" s="380" t="e">
        <f>VLOOKUP($A$12,TABLA_6[],5,FALSE)</f>
        <v>#N/A</v>
      </c>
      <c r="H13" s="380" t="e">
        <f>VLOOKUP($A$12,TABLA_7[],5,FALSE)</f>
        <v>#N/A</v>
      </c>
      <c r="I13" s="380" t="e">
        <f>VLOOKUP($A$12,TABLA_8[],5,FALSE)</f>
        <v>#N/A</v>
      </c>
      <c r="J13" s="380" t="e">
        <f>VLOOKUP($A$12,TABLA_9[],5,FALSE)</f>
        <v>#N/A</v>
      </c>
      <c r="K13" s="380" t="e">
        <f>VLOOKUP($A$12,TABLA_10[],5,FALSE)</f>
        <v>#N/A</v>
      </c>
      <c r="L13" s="380" t="e">
        <f>VLOOKUP($A$12,TABLA_11[],5,FALSE)</f>
        <v>#N/A</v>
      </c>
      <c r="M13" s="380" t="e">
        <f>VLOOKUP($A$12,TABLA_12[],5,FALSE)</f>
        <v>#N/A</v>
      </c>
      <c r="N13" s="380" t="e">
        <f>VLOOKUP($A$12,TABLA_13[],5,FALSE)</f>
        <v>#N/A</v>
      </c>
      <c r="O13" s="6"/>
      <c r="P13" s="43" t="e">
        <f>MAX(B13:N13)</f>
        <v>#N/A</v>
      </c>
    </row>
    <row r="14" spans="1:16" x14ac:dyDescent="0.25">
      <c r="A14" s="97" t="s">
        <v>7</v>
      </c>
      <c r="B14" s="380" t="e">
        <f>VLOOKUP($A$12,TABLA_1[],8,FALSE)</f>
        <v>#N/A</v>
      </c>
      <c r="C14" s="380" t="e">
        <f>VLOOKUP($A$12,TABLA_2[],8,FALSE)</f>
        <v>#N/A</v>
      </c>
      <c r="D14" s="380" t="e">
        <f>VLOOKUP($A$12,TABLA_3[],8,FALSE)</f>
        <v>#N/A</v>
      </c>
      <c r="E14" s="380" t="e">
        <f>VLOOKUP($A$12,TABLA_4[],8,FALSE)</f>
        <v>#N/A</v>
      </c>
      <c r="F14" s="380" t="e">
        <f>VLOOKUP($A$12,TABLA_5[],8,FALSE)</f>
        <v>#N/A</v>
      </c>
      <c r="G14" s="380" t="e">
        <f>VLOOKUP($A$12,TABLA_6[],8,FALSE)</f>
        <v>#N/A</v>
      </c>
      <c r="H14" s="380" t="e">
        <f>VLOOKUP($A$12,TABLA_7[],8,FALSE)</f>
        <v>#N/A</v>
      </c>
      <c r="I14" s="380" t="e">
        <f>VLOOKUP($A$12,TABLA_8[],8,FALSE)</f>
        <v>#N/A</v>
      </c>
      <c r="J14" s="380" t="e">
        <f>VLOOKUP($A$12,TABLA_9[],8,FALSE)</f>
        <v>#N/A</v>
      </c>
      <c r="K14" s="380" t="e">
        <f>VLOOKUP($A$12,TABLA_10[],8,FALSE)</f>
        <v>#N/A</v>
      </c>
      <c r="L14" s="380" t="e">
        <f>VLOOKUP($A$12,TABLA_11[],8,FALSE)</f>
        <v>#N/A</v>
      </c>
      <c r="M14" s="380" t="e">
        <f>VLOOKUP($A$12,TABLA_12[],8,FALSE)</f>
        <v>#N/A</v>
      </c>
      <c r="N14" s="380" t="e">
        <f>VLOOKUP($A$12,TABLA_13[],8,FALSE)</f>
        <v>#N/A</v>
      </c>
      <c r="O14" s="47" t="e">
        <f>SUM(B14:N14)</f>
        <v>#N/A</v>
      </c>
      <c r="P14" s="43" t="e">
        <f>SUM(B14:N14)/(COUNTIF(B14:N14,"&gt;0"))</f>
        <v>#N/A</v>
      </c>
    </row>
    <row r="15" spans="1:16" x14ac:dyDescent="0.25">
      <c r="A15" s="97" t="s">
        <v>16</v>
      </c>
      <c r="B15" s="98" t="e">
        <f>+((B13/B17)^2-(B13^2))^(0.5)</f>
        <v>#N/A</v>
      </c>
      <c r="C15" s="98" t="e">
        <f>+((C13/C17)^2-(C13^2))^(0.5)</f>
        <v>#N/A</v>
      </c>
      <c r="D15" s="98" t="e">
        <f>+((D13/D17)^2-(D13^2))^(0.5)</f>
        <v>#N/A</v>
      </c>
      <c r="E15" s="98" t="e">
        <f t="shared" ref="E15:N15" si="0">+((E13/E17)^2-(E13^2))^(0.5)</f>
        <v>#N/A</v>
      </c>
      <c r="F15" s="98" t="e">
        <f t="shared" si="0"/>
        <v>#N/A</v>
      </c>
      <c r="G15" s="98" t="e">
        <f t="shared" si="0"/>
        <v>#N/A</v>
      </c>
      <c r="H15" s="98" t="e">
        <f t="shared" si="0"/>
        <v>#N/A</v>
      </c>
      <c r="I15" s="98" t="e">
        <f t="shared" si="0"/>
        <v>#N/A</v>
      </c>
      <c r="J15" s="98" t="e">
        <f t="shared" si="0"/>
        <v>#N/A</v>
      </c>
      <c r="K15" s="98" t="e">
        <f t="shared" si="0"/>
        <v>#N/A</v>
      </c>
      <c r="L15" s="98" t="e">
        <f t="shared" si="0"/>
        <v>#N/A</v>
      </c>
      <c r="M15" s="98" t="e">
        <f t="shared" si="0"/>
        <v>#N/A</v>
      </c>
      <c r="N15" s="37" t="e">
        <f t="shared" si="0"/>
        <v>#N/A</v>
      </c>
      <c r="O15" s="37"/>
      <c r="P15" s="4" t="e">
        <f>HLOOKUP(P13,B13:N15,3,FALSE)</f>
        <v>#N/A</v>
      </c>
    </row>
    <row r="16" spans="1:16" x14ac:dyDescent="0.25">
      <c r="A16" s="97" t="s">
        <v>8</v>
      </c>
      <c r="B16" s="98" t="e">
        <f>+B14/(24*B$8)</f>
        <v>#N/A</v>
      </c>
      <c r="C16" s="98" t="e">
        <f>+C14/(24*C$8)</f>
        <v>#N/A</v>
      </c>
      <c r="D16" s="98" t="e">
        <f>+D14/(24*D$8)</f>
        <v>#N/A</v>
      </c>
      <c r="E16" s="98" t="e">
        <f>+E14/(24*E$8)</f>
        <v>#N/A</v>
      </c>
      <c r="F16" s="98" t="e">
        <f t="shared" ref="F16:N16" si="1">+F14/(24*F$8)</f>
        <v>#N/A</v>
      </c>
      <c r="G16" s="98" t="e">
        <f t="shared" si="1"/>
        <v>#N/A</v>
      </c>
      <c r="H16" s="98" t="e">
        <f t="shared" si="1"/>
        <v>#N/A</v>
      </c>
      <c r="I16" s="98" t="e">
        <f t="shared" si="1"/>
        <v>#N/A</v>
      </c>
      <c r="J16" s="98" t="e">
        <f t="shared" si="1"/>
        <v>#N/A</v>
      </c>
      <c r="K16" s="98" t="e">
        <f t="shared" si="1"/>
        <v>#N/A</v>
      </c>
      <c r="L16" s="98" t="e">
        <f t="shared" si="1"/>
        <v>#N/A</v>
      </c>
      <c r="M16" s="98" t="e">
        <f t="shared" si="1"/>
        <v>#N/A</v>
      </c>
      <c r="N16" s="37" t="e">
        <f t="shared" si="1"/>
        <v>#N/A</v>
      </c>
      <c r="O16" s="6" t="e">
        <f>SUM(O14)/(24*O$8)</f>
        <v>#N/A</v>
      </c>
      <c r="P16" s="4" t="e">
        <f>O14/(COUNTIF(B14:N14,"&gt;0")*720)</f>
        <v>#N/A</v>
      </c>
    </row>
    <row r="17" spans="1:18" x14ac:dyDescent="0.25">
      <c r="A17" s="97" t="s">
        <v>9</v>
      </c>
      <c r="B17" s="380" t="e">
        <f>VLOOKUP($A$12,TABLA_1[],10,FALSE)</f>
        <v>#N/A</v>
      </c>
      <c r="C17" s="380" t="e">
        <f>VLOOKUP($A$12,TABLA_2[],10,FALSE)</f>
        <v>#N/A</v>
      </c>
      <c r="D17" s="380" t="e">
        <f>VLOOKUP($A$12,TABLA_3[],10,FALSE)</f>
        <v>#N/A</v>
      </c>
      <c r="E17" s="380" t="e">
        <f>VLOOKUP($A$12,TABLA_4[],10,FALSE)</f>
        <v>#N/A</v>
      </c>
      <c r="F17" s="380" t="e">
        <f>VLOOKUP($A$12,TABLA_5[],10,FALSE)</f>
        <v>#N/A</v>
      </c>
      <c r="G17" s="380" t="e">
        <f>VLOOKUP($A$12,TABLA_6[],10,FALSE)</f>
        <v>#N/A</v>
      </c>
      <c r="H17" s="380" t="e">
        <f>VLOOKUP($A$12,TABLA_7[],10,FALSE)</f>
        <v>#N/A</v>
      </c>
      <c r="I17" s="380" t="e">
        <f>VLOOKUP($A$12,TABLA_8[],10,FALSE)</f>
        <v>#N/A</v>
      </c>
      <c r="J17" s="380" t="e">
        <f>VLOOKUP($A$12,TABLA_9[],10,FALSE)</f>
        <v>#N/A</v>
      </c>
      <c r="K17" s="380" t="e">
        <f>VLOOKUP($A$12,TABLA_10[],10,FALSE)</f>
        <v>#N/A</v>
      </c>
      <c r="L17" s="380" t="e">
        <f>VLOOKUP($A$12,TABLA_11[],10,FALSE)</f>
        <v>#N/A</v>
      </c>
      <c r="M17" s="380" t="e">
        <f>VLOOKUP($A$12,TABLA_12[],10,FALSE)</f>
        <v>#N/A</v>
      </c>
      <c r="N17" s="380" t="e">
        <f>VLOOKUP($A$12,TABLA_13[],10,FALSE)</f>
        <v>#N/A</v>
      </c>
      <c r="O17" s="6"/>
      <c r="P17" s="4" t="e">
        <f>COS(ATAN(P15/P13))</f>
        <v>#N/A</v>
      </c>
    </row>
    <row r="18" spans="1:18" x14ac:dyDescent="0.25">
      <c r="A18" s="97" t="s">
        <v>17</v>
      </c>
      <c r="B18" s="98" t="e">
        <f>+B16/B13</f>
        <v>#N/A</v>
      </c>
      <c r="C18" s="98" t="e">
        <f>+C16/C13</f>
        <v>#N/A</v>
      </c>
      <c r="D18" s="98" t="e">
        <f t="shared" ref="D18:N18" si="2">+D16/D13</f>
        <v>#N/A</v>
      </c>
      <c r="E18" s="98" t="e">
        <f t="shared" si="2"/>
        <v>#N/A</v>
      </c>
      <c r="F18" s="98" t="e">
        <f t="shared" si="2"/>
        <v>#N/A</v>
      </c>
      <c r="G18" s="98" t="e">
        <f t="shared" si="2"/>
        <v>#N/A</v>
      </c>
      <c r="H18" s="98" t="e">
        <f t="shared" si="2"/>
        <v>#N/A</v>
      </c>
      <c r="I18" s="98" t="e">
        <f t="shared" si="2"/>
        <v>#N/A</v>
      </c>
      <c r="J18" s="98" t="e">
        <f>+J16/J13</f>
        <v>#N/A</v>
      </c>
      <c r="K18" s="98" t="e">
        <f t="shared" si="2"/>
        <v>#N/A</v>
      </c>
      <c r="L18" s="98" t="e">
        <f t="shared" si="2"/>
        <v>#N/A</v>
      </c>
      <c r="M18" s="98" t="e">
        <f t="shared" si="2"/>
        <v>#N/A</v>
      </c>
      <c r="N18" s="37" t="e">
        <f t="shared" si="2"/>
        <v>#N/A</v>
      </c>
      <c r="O18" s="6"/>
      <c r="P18" s="4" t="e">
        <f>+P16/P13</f>
        <v>#N/A</v>
      </c>
    </row>
    <row r="19" spans="1:18" s="24" customFormat="1" x14ac:dyDescent="0.25">
      <c r="A19" s="271" t="s">
        <v>267</v>
      </c>
      <c r="B19" s="65"/>
      <c r="C19" s="65"/>
      <c r="D19" s="65"/>
      <c r="E19" s="65"/>
      <c r="F19" s="65"/>
      <c r="G19" s="66"/>
      <c r="H19" s="66"/>
      <c r="I19" s="66"/>
      <c r="J19" s="66"/>
      <c r="K19" s="36"/>
      <c r="L19" s="36"/>
      <c r="M19" s="36"/>
      <c r="N19" s="36"/>
      <c r="O19" s="270"/>
      <c r="P19" s="36"/>
    </row>
    <row r="20" spans="1:18" x14ac:dyDescent="0.25">
      <c r="A20" s="97" t="s">
        <v>6</v>
      </c>
      <c r="B20" s="380" t="e">
        <f>VLOOKUP($A$19,TABLA_1[],5,FALSE)</f>
        <v>#N/A</v>
      </c>
      <c r="C20" s="380" t="e">
        <f>VLOOKUP($A$19,TABLA_2[],5,FALSE)</f>
        <v>#N/A</v>
      </c>
      <c r="D20" s="380" t="e">
        <f>VLOOKUP($A$19,TABLA_3[],5,FALSE)</f>
        <v>#N/A</v>
      </c>
      <c r="E20" s="380" t="e">
        <f>VLOOKUP($A$19,TABLA_4[],5,FALSE)</f>
        <v>#N/A</v>
      </c>
      <c r="F20" s="380" t="e">
        <f>VLOOKUP($A$19,TABLA_5[],5,FALSE)</f>
        <v>#N/A</v>
      </c>
      <c r="G20" s="380" t="e">
        <f>VLOOKUP($A$19,TABLA_6[],5,FALSE)</f>
        <v>#N/A</v>
      </c>
      <c r="H20" s="380" t="e">
        <f>VLOOKUP($A$19,TABLA_7[],5,FALSE)</f>
        <v>#N/A</v>
      </c>
      <c r="I20" s="380" t="e">
        <f>VLOOKUP($A$19,TABLA_8[],5,FALSE)</f>
        <v>#N/A</v>
      </c>
      <c r="J20" s="380" t="e">
        <f>VLOOKUP($A$19,TABLA_9[],5,FALSE)</f>
        <v>#N/A</v>
      </c>
      <c r="K20" s="380" t="e">
        <f>VLOOKUP($A$19,TABLA_10[],5,FALSE)</f>
        <v>#N/A</v>
      </c>
      <c r="L20" s="380" t="e">
        <f>VLOOKUP($A$19,TABLA_11[],5,FALSE)</f>
        <v>#N/A</v>
      </c>
      <c r="M20" s="380" t="e">
        <f>VLOOKUP($A$19,TABLA_12[],5,FALSE)</f>
        <v>#N/A</v>
      </c>
      <c r="N20" s="380" t="e">
        <f>VLOOKUP($A$19,TABLA_13[],5,FALSE)</f>
        <v>#N/A</v>
      </c>
      <c r="O20" s="6"/>
      <c r="P20" s="43" t="e">
        <f>MAX(B20:N20)</f>
        <v>#N/A</v>
      </c>
    </row>
    <row r="21" spans="1:18" x14ac:dyDescent="0.25">
      <c r="A21" s="97" t="s">
        <v>7</v>
      </c>
      <c r="B21" s="380" t="e">
        <f>VLOOKUP($A$19,TABLA_1[],8,FALSE)</f>
        <v>#N/A</v>
      </c>
      <c r="C21" s="380" t="e">
        <f>VLOOKUP($A$19,TABLA_2[],8,FALSE)</f>
        <v>#N/A</v>
      </c>
      <c r="D21" s="380" t="e">
        <f>VLOOKUP($A$19,TABLA_3[],8,FALSE)</f>
        <v>#N/A</v>
      </c>
      <c r="E21" s="380" t="e">
        <f>VLOOKUP($A$19,TABLA_4[],8,FALSE)</f>
        <v>#N/A</v>
      </c>
      <c r="F21" s="380" t="e">
        <f>VLOOKUP($A$19,TABLA_5[],8,FALSE)</f>
        <v>#N/A</v>
      </c>
      <c r="G21" s="380" t="e">
        <f>VLOOKUP($A$19,TABLA_6[],8,FALSE)</f>
        <v>#N/A</v>
      </c>
      <c r="H21" s="380" t="e">
        <f>VLOOKUP($A$19,TABLA_7[],8,FALSE)</f>
        <v>#N/A</v>
      </c>
      <c r="I21" s="380" t="e">
        <f>VLOOKUP($A$19,TABLA_8[],8,FALSE)</f>
        <v>#N/A</v>
      </c>
      <c r="J21" s="380" t="e">
        <f>VLOOKUP($A$19,TABLA_9[],8,FALSE)</f>
        <v>#N/A</v>
      </c>
      <c r="K21" s="380" t="e">
        <f>VLOOKUP($A$19,TABLA_10[],8,FALSE)</f>
        <v>#N/A</v>
      </c>
      <c r="L21" s="380" t="e">
        <f>VLOOKUP($A$19,TABLA_11[],8,FALSE)</f>
        <v>#N/A</v>
      </c>
      <c r="M21" s="380" t="e">
        <f>VLOOKUP($A$19,TABLA_12[],8,FALSE)</f>
        <v>#N/A</v>
      </c>
      <c r="N21" s="380" t="e">
        <f>VLOOKUP($A$19,TABLA_13[],8,FALSE)</f>
        <v>#N/A</v>
      </c>
      <c r="O21" s="47" t="e">
        <f>SUM(B21:N21)</f>
        <v>#N/A</v>
      </c>
      <c r="P21" s="43" t="e">
        <f>SUM(B21:N21)/(COUNTIF(B21:N21,"&gt;0"))</f>
        <v>#N/A</v>
      </c>
    </row>
    <row r="22" spans="1:18" x14ac:dyDescent="0.25">
      <c r="A22" s="97" t="s">
        <v>16</v>
      </c>
      <c r="B22" s="98" t="e">
        <f t="shared" ref="B22:N22" si="3">+((B20/B24)^2-(B20^2))^(0.5)</f>
        <v>#N/A</v>
      </c>
      <c r="C22" s="98" t="e">
        <f>+((C20/C24)^2-(C20^2))^(0.5)</f>
        <v>#N/A</v>
      </c>
      <c r="D22" s="98" t="e">
        <f t="shared" si="3"/>
        <v>#N/A</v>
      </c>
      <c r="E22" s="98" t="e">
        <f t="shared" si="3"/>
        <v>#N/A</v>
      </c>
      <c r="F22" s="98" t="e">
        <f t="shared" si="3"/>
        <v>#N/A</v>
      </c>
      <c r="G22" s="98" t="e">
        <f t="shared" si="3"/>
        <v>#N/A</v>
      </c>
      <c r="H22" s="98" t="e">
        <f t="shared" si="3"/>
        <v>#N/A</v>
      </c>
      <c r="I22" s="98" t="e">
        <f t="shared" si="3"/>
        <v>#N/A</v>
      </c>
      <c r="J22" s="98" t="e">
        <f t="shared" si="3"/>
        <v>#N/A</v>
      </c>
      <c r="K22" s="98" t="e">
        <f t="shared" si="3"/>
        <v>#N/A</v>
      </c>
      <c r="L22" s="98" t="e">
        <f t="shared" si="3"/>
        <v>#N/A</v>
      </c>
      <c r="M22" s="98" t="e">
        <f t="shared" si="3"/>
        <v>#N/A</v>
      </c>
      <c r="N22" s="37" t="e">
        <f t="shared" si="3"/>
        <v>#N/A</v>
      </c>
      <c r="O22" s="37"/>
      <c r="P22" s="4" t="e">
        <f>HLOOKUP(P20,B20:N22,3,FALSE)</f>
        <v>#N/A</v>
      </c>
      <c r="R22" s="48"/>
    </row>
    <row r="23" spans="1:18" x14ac:dyDescent="0.25">
      <c r="A23" s="97" t="s">
        <v>8</v>
      </c>
      <c r="B23" s="98" t="e">
        <f>+B21/(24*B$8)</f>
        <v>#N/A</v>
      </c>
      <c r="C23" s="98" t="e">
        <f>+C21/(24*C$8)</f>
        <v>#N/A</v>
      </c>
      <c r="D23" s="98" t="e">
        <f>+D21/(24*D$8)</f>
        <v>#N/A</v>
      </c>
      <c r="E23" s="98" t="e">
        <f>+E21/(24*E$8)</f>
        <v>#N/A</v>
      </c>
      <c r="F23" s="98" t="e">
        <f t="shared" ref="F23:N23" si="4">+F21/(24*F$8)</f>
        <v>#N/A</v>
      </c>
      <c r="G23" s="98" t="e">
        <f t="shared" si="4"/>
        <v>#N/A</v>
      </c>
      <c r="H23" s="98" t="e">
        <f t="shared" si="4"/>
        <v>#N/A</v>
      </c>
      <c r="I23" s="98" t="e">
        <f t="shared" si="4"/>
        <v>#N/A</v>
      </c>
      <c r="J23" s="98" t="e">
        <f t="shared" si="4"/>
        <v>#N/A</v>
      </c>
      <c r="K23" s="98" t="e">
        <f t="shared" si="4"/>
        <v>#N/A</v>
      </c>
      <c r="L23" s="98" t="e">
        <f t="shared" si="4"/>
        <v>#N/A</v>
      </c>
      <c r="M23" s="98" t="e">
        <f t="shared" si="4"/>
        <v>#N/A</v>
      </c>
      <c r="N23" s="37" t="e">
        <f t="shared" si="4"/>
        <v>#N/A</v>
      </c>
      <c r="O23" s="6" t="e">
        <f>SUM(O21)/(24*O$8)</f>
        <v>#N/A</v>
      </c>
      <c r="P23" s="4" t="e">
        <f>O21/(COUNTIF(B21:N21,"&gt;0")*720)</f>
        <v>#N/A</v>
      </c>
      <c r="R23" s="48"/>
    </row>
    <row r="24" spans="1:18" x14ac:dyDescent="0.25">
      <c r="A24" s="97" t="s">
        <v>9</v>
      </c>
      <c r="B24" s="380" t="e">
        <f>VLOOKUP($A$19,TABLA_1[],10,FALSE)</f>
        <v>#N/A</v>
      </c>
      <c r="C24" s="380" t="e">
        <f>VLOOKUP($A$19,TABLA_2[],10,FALSE)</f>
        <v>#N/A</v>
      </c>
      <c r="D24" s="380" t="e">
        <f>VLOOKUP($A$19,TABLA_3[],10,FALSE)</f>
        <v>#N/A</v>
      </c>
      <c r="E24" s="380" t="e">
        <f>VLOOKUP($A$19,TABLA_4[],10,FALSE)</f>
        <v>#N/A</v>
      </c>
      <c r="F24" s="380" t="e">
        <f>VLOOKUP($A$19,TABLA_5[],10,FALSE)</f>
        <v>#N/A</v>
      </c>
      <c r="G24" s="380" t="e">
        <f>VLOOKUP($A$19,TABLA_6[],10,FALSE)</f>
        <v>#N/A</v>
      </c>
      <c r="H24" s="380" t="e">
        <f>VLOOKUP($A$19,TABLA_7[],10,FALSE)</f>
        <v>#N/A</v>
      </c>
      <c r="I24" s="380" t="e">
        <f>VLOOKUP($A$19,TABLA_8[],10,FALSE)</f>
        <v>#N/A</v>
      </c>
      <c r="J24" s="380" t="e">
        <f>VLOOKUP($A$19,TABLA_9[],10,FALSE)</f>
        <v>#N/A</v>
      </c>
      <c r="K24" s="380" t="e">
        <f>VLOOKUP($A$19,TABLA_10[],10,FALSE)</f>
        <v>#N/A</v>
      </c>
      <c r="L24" s="380" t="e">
        <f>VLOOKUP($A$19,TABLA_11[],10,FALSE)</f>
        <v>#N/A</v>
      </c>
      <c r="M24" s="380" t="e">
        <f>VLOOKUP($A$19,TABLA_12[],10,FALSE)</f>
        <v>#N/A</v>
      </c>
      <c r="N24" s="380" t="e">
        <f>VLOOKUP($A$19,TABLA_13[],10,FALSE)</f>
        <v>#N/A</v>
      </c>
      <c r="O24" s="6"/>
      <c r="P24" s="4" t="e">
        <f>COS(ATAN(P22/P20))</f>
        <v>#N/A</v>
      </c>
    </row>
    <row r="25" spans="1:18" x14ac:dyDescent="0.25">
      <c r="A25" s="97" t="s">
        <v>17</v>
      </c>
      <c r="B25" s="98" t="e">
        <f t="shared" ref="B25:N25" si="5">+B23/B20</f>
        <v>#N/A</v>
      </c>
      <c r="C25" s="98" t="e">
        <f>+C23/C20</f>
        <v>#N/A</v>
      </c>
      <c r="D25" s="98" t="e">
        <f t="shared" si="5"/>
        <v>#N/A</v>
      </c>
      <c r="E25" s="98" t="e">
        <f t="shared" si="5"/>
        <v>#N/A</v>
      </c>
      <c r="F25" s="98" t="e">
        <f t="shared" si="5"/>
        <v>#N/A</v>
      </c>
      <c r="G25" s="98" t="e">
        <f t="shared" si="5"/>
        <v>#N/A</v>
      </c>
      <c r="H25" s="98" t="e">
        <f t="shared" si="5"/>
        <v>#N/A</v>
      </c>
      <c r="I25" s="98" t="e">
        <f t="shared" si="5"/>
        <v>#N/A</v>
      </c>
      <c r="J25" s="98" t="e">
        <f t="shared" si="5"/>
        <v>#N/A</v>
      </c>
      <c r="K25" s="98" t="e">
        <f t="shared" si="5"/>
        <v>#N/A</v>
      </c>
      <c r="L25" s="98" t="e">
        <f t="shared" si="5"/>
        <v>#N/A</v>
      </c>
      <c r="M25" s="125" t="e">
        <f t="shared" si="5"/>
        <v>#N/A</v>
      </c>
      <c r="N25" s="4" t="e">
        <f t="shared" si="5"/>
        <v>#N/A</v>
      </c>
      <c r="O25" s="6"/>
      <c r="P25" s="4" t="e">
        <f>+P23/P20</f>
        <v>#N/A</v>
      </c>
    </row>
    <row r="26" spans="1:18" x14ac:dyDescent="0.25">
      <c r="A26" s="110"/>
      <c r="B26" s="111"/>
      <c r="C26" s="111"/>
      <c r="D26" s="111"/>
      <c r="E26" s="111"/>
      <c r="F26" s="111"/>
      <c r="G26" s="111"/>
      <c r="H26" s="111"/>
      <c r="I26" s="111"/>
      <c r="J26" s="111"/>
      <c r="K26" s="111"/>
      <c r="L26" s="111"/>
      <c r="M26" s="111"/>
      <c r="N26" s="111"/>
      <c r="O26" s="126"/>
      <c r="P26" s="48"/>
    </row>
    <row r="27" spans="1:18" x14ac:dyDescent="0.25">
      <c r="A27" s="48"/>
      <c r="B27" s="91"/>
      <c r="C27" s="91"/>
      <c r="D27" s="91"/>
      <c r="E27" s="91"/>
      <c r="F27" s="91"/>
      <c r="G27" s="64"/>
      <c r="H27" s="64"/>
      <c r="I27" s="64"/>
      <c r="J27" s="64"/>
      <c r="K27" s="64"/>
      <c r="L27" s="64"/>
      <c r="M27" s="64"/>
      <c r="N27" s="64"/>
      <c r="O27" s="107"/>
      <c r="P27" s="48"/>
    </row>
    <row r="28" spans="1:18" x14ac:dyDescent="0.25">
      <c r="A28" s="7" t="s">
        <v>10</v>
      </c>
      <c r="B28" s="72"/>
      <c r="C28" s="72"/>
      <c r="D28" s="72"/>
      <c r="E28" s="72"/>
      <c r="F28" s="72"/>
      <c r="G28" s="73"/>
      <c r="H28" s="73"/>
      <c r="I28" s="73"/>
      <c r="J28" s="73"/>
      <c r="K28" s="73"/>
      <c r="L28" s="53"/>
      <c r="M28" s="53"/>
      <c r="N28" s="53"/>
      <c r="O28" s="108"/>
      <c r="P28" s="8"/>
    </row>
    <row r="29" spans="1:18" x14ac:dyDescent="0.25">
      <c r="A29" s="9" t="s">
        <v>11</v>
      </c>
      <c r="B29" s="62" t="e">
        <f t="shared" ref="B29:N29" si="6">B13+B20</f>
        <v>#N/A</v>
      </c>
      <c r="C29" s="62" t="e">
        <f t="shared" si="6"/>
        <v>#N/A</v>
      </c>
      <c r="D29" s="62" t="e">
        <f t="shared" si="6"/>
        <v>#N/A</v>
      </c>
      <c r="E29" s="62" t="e">
        <f t="shared" si="6"/>
        <v>#N/A</v>
      </c>
      <c r="F29" s="62" t="e">
        <f t="shared" si="6"/>
        <v>#N/A</v>
      </c>
      <c r="G29" s="62" t="e">
        <f t="shared" si="6"/>
        <v>#N/A</v>
      </c>
      <c r="H29" s="62" t="e">
        <f t="shared" si="6"/>
        <v>#N/A</v>
      </c>
      <c r="I29" s="62" t="e">
        <f t="shared" si="6"/>
        <v>#N/A</v>
      </c>
      <c r="J29" s="62" t="e">
        <f t="shared" si="6"/>
        <v>#N/A</v>
      </c>
      <c r="K29" s="62" t="e">
        <f t="shared" si="6"/>
        <v>#N/A</v>
      </c>
      <c r="L29" s="62" t="e">
        <f t="shared" si="6"/>
        <v>#N/A</v>
      </c>
      <c r="M29" s="62" t="e">
        <f t="shared" si="6"/>
        <v>#N/A</v>
      </c>
      <c r="N29" s="62" t="e">
        <f t="shared" si="6"/>
        <v>#N/A</v>
      </c>
      <c r="O29" s="62"/>
      <c r="P29" s="42" t="e">
        <f>MAX(B29:N29)</f>
        <v>#N/A</v>
      </c>
    </row>
    <row r="30" spans="1:18" x14ac:dyDescent="0.25">
      <c r="A30" s="109" t="s">
        <v>7</v>
      </c>
      <c r="B30" s="62" t="e">
        <f t="shared" ref="B30:N30" si="7">B21+B14</f>
        <v>#N/A</v>
      </c>
      <c r="C30" s="62" t="e">
        <f t="shared" si="7"/>
        <v>#N/A</v>
      </c>
      <c r="D30" s="62" t="e">
        <f t="shared" si="7"/>
        <v>#N/A</v>
      </c>
      <c r="E30" s="62" t="e">
        <f t="shared" si="7"/>
        <v>#N/A</v>
      </c>
      <c r="F30" s="62" t="e">
        <f t="shared" si="7"/>
        <v>#N/A</v>
      </c>
      <c r="G30" s="62" t="e">
        <f t="shared" si="7"/>
        <v>#N/A</v>
      </c>
      <c r="H30" s="62" t="e">
        <f t="shared" si="7"/>
        <v>#N/A</v>
      </c>
      <c r="I30" s="62" t="e">
        <f t="shared" si="7"/>
        <v>#N/A</v>
      </c>
      <c r="J30" s="62" t="e">
        <f t="shared" si="7"/>
        <v>#N/A</v>
      </c>
      <c r="K30" s="62" t="e">
        <f t="shared" si="7"/>
        <v>#N/A</v>
      </c>
      <c r="L30" s="62" t="e">
        <f t="shared" si="7"/>
        <v>#N/A</v>
      </c>
      <c r="M30" s="62" t="e">
        <f t="shared" si="7"/>
        <v>#N/A</v>
      </c>
      <c r="N30" s="62" t="e">
        <f t="shared" si="7"/>
        <v>#N/A</v>
      </c>
      <c r="O30" s="62" t="e">
        <f>SUM(B30:N30)</f>
        <v>#N/A</v>
      </c>
      <c r="P30" s="42"/>
    </row>
    <row r="31" spans="1:18" x14ac:dyDescent="0.25">
      <c r="A31" s="9"/>
      <c r="B31" s="62"/>
      <c r="C31" s="62"/>
      <c r="D31" s="62"/>
      <c r="E31" s="62"/>
      <c r="F31" s="62"/>
      <c r="G31" s="62"/>
      <c r="H31" s="62"/>
      <c r="I31" s="62"/>
      <c r="J31" s="62"/>
      <c r="K31" s="62"/>
      <c r="L31" s="62"/>
      <c r="M31" s="62"/>
      <c r="N31" s="62"/>
      <c r="O31" s="62"/>
      <c r="P31" s="42"/>
    </row>
    <row r="32" spans="1:18" x14ac:dyDescent="0.25">
      <c r="A32" s="272" t="s">
        <v>12</v>
      </c>
      <c r="B32" s="376" t="s">
        <v>496</v>
      </c>
      <c r="C32" s="246"/>
      <c r="D32" s="246"/>
      <c r="E32" s="246"/>
      <c r="F32" s="246"/>
      <c r="G32" s="247"/>
      <c r="H32" s="247"/>
      <c r="I32" s="247"/>
      <c r="J32" s="247"/>
      <c r="K32" s="36"/>
      <c r="L32" s="36"/>
      <c r="M32" s="36"/>
      <c r="N32" s="36"/>
      <c r="O32" s="36"/>
      <c r="P32" s="3"/>
    </row>
    <row r="33" spans="1:17" x14ac:dyDescent="0.25">
      <c r="A33" s="3" t="s">
        <v>6</v>
      </c>
      <c r="B33" s="389">
        <f>VLOOKUP($B$32,BancoTabla_1[],5,FALSE)</f>
        <v>0</v>
      </c>
      <c r="C33" s="389">
        <f>VLOOKUP($B$32,BancoTabla_2[],5,FALSE)</f>
        <v>0</v>
      </c>
      <c r="D33" s="389">
        <f>VLOOKUP($B$32,BancoTabla_3[],5,FALSE)</f>
        <v>0</v>
      </c>
      <c r="E33" s="389">
        <f>VLOOKUP($B$32,BancoTabla_4[],5,FALSE)</f>
        <v>0</v>
      </c>
      <c r="F33" s="389">
        <f>VLOOKUP($B$32,BancoTabla_5[],5,FALSE)</f>
        <v>0</v>
      </c>
      <c r="G33" s="389">
        <f>VLOOKUP($B$32,BancoTabla_6[],5,FALSE)</f>
        <v>3955</v>
      </c>
      <c r="H33" s="389">
        <f>VLOOKUP($B$32,BancoTabla_7[],5,FALSE)</f>
        <v>0</v>
      </c>
      <c r="I33" s="389">
        <f>VLOOKUP($B$32,BancoTabla_8[],5,FALSE)</f>
        <v>0</v>
      </c>
      <c r="J33" s="389">
        <f>VLOOKUP($B$32,BancoTabla_9[],5,FALSE)</f>
        <v>0</v>
      </c>
      <c r="K33" s="389">
        <f>VLOOKUP($B$32,BancoTabla_10[],5,FALSE)</f>
        <v>0</v>
      </c>
      <c r="L33" s="389">
        <f>VLOOKUP($B$32,BancoTabla_11[],5,FALSE)</f>
        <v>0</v>
      </c>
      <c r="M33" s="389">
        <f>VLOOKUP($B$32,BancoTabla_12[],5,FALSE)</f>
        <v>0</v>
      </c>
      <c r="N33" s="389">
        <f>VLOOKUP($B$32,BancoTabla_13[],5,FALSE)</f>
        <v>0</v>
      </c>
      <c r="O33" s="79"/>
      <c r="P33" s="43">
        <f>MAX(B33:N33)</f>
        <v>3955</v>
      </c>
      <c r="Q33" s="339">
        <f>P33/1000</f>
        <v>3.9550000000000001</v>
      </c>
    </row>
    <row r="34" spans="1:17" x14ac:dyDescent="0.25">
      <c r="A34" s="3" t="s">
        <v>7</v>
      </c>
      <c r="B34" s="389">
        <f>VLOOKUP($B$32,BancoTabla_1[],8,FALSE)</f>
        <v>0</v>
      </c>
      <c r="C34" s="389">
        <f>VLOOKUP($B$32,BancoTabla_2[],8,FALSE)</f>
        <v>0</v>
      </c>
      <c r="D34" s="389">
        <f>VLOOKUP($B$32,BancoTabla_3[],8,FALSE)</f>
        <v>0</v>
      </c>
      <c r="E34" s="389">
        <f>VLOOKUP($B$32,BancoTabla_4[],8,FALSE)</f>
        <v>0</v>
      </c>
      <c r="F34" s="389">
        <f>VLOOKUP($B$32,BancoTabla_5[],8,FALSE)</f>
        <v>0</v>
      </c>
      <c r="G34" s="389">
        <f>VLOOKUP($B$32,BancoTabla_6[],8,FALSE)</f>
        <v>-1</v>
      </c>
      <c r="H34" s="389">
        <f>VLOOKUP($B$32,BancoTabla_7[],8,FALSE)</f>
        <v>0</v>
      </c>
      <c r="I34" s="389">
        <f>VLOOKUP($B$32,BancoTabla_8[],8,FALSE)</f>
        <v>0</v>
      </c>
      <c r="J34" s="389">
        <f>VLOOKUP($B$32,BancoTabla_9[],8,FALSE)</f>
        <v>0</v>
      </c>
      <c r="K34" s="389">
        <f>VLOOKUP($B$32,BancoTabla_10[],8,FALSE)</f>
        <v>0</v>
      </c>
      <c r="L34" s="389">
        <f>VLOOKUP($B$32,BancoTabla_11[],8,FALSE)</f>
        <v>0</v>
      </c>
      <c r="M34" s="389">
        <f>VLOOKUP($B$32,BancoTabla_12[],8,FALSE)</f>
        <v>0</v>
      </c>
      <c r="N34" s="389">
        <f>VLOOKUP($B$32,BancoTabla_13[],8,FALSE)</f>
        <v>0</v>
      </c>
      <c r="O34" s="47">
        <f>SUM(B34:N34)</f>
        <v>-1</v>
      </c>
      <c r="P34" s="4" t="e">
        <f>SUM(B34:N34)/(COUNTIF(B34:N34,"&gt;0"))</f>
        <v>#DIV/0!</v>
      </c>
    </row>
    <row r="35" spans="1:17" x14ac:dyDescent="0.25">
      <c r="A35" s="3" t="s">
        <v>16</v>
      </c>
      <c r="B35" s="37" t="e">
        <f t="shared" ref="B35:M35" si="8">+((B33/B37)^2-(B33^2))^(0.5)</f>
        <v>#DIV/0!</v>
      </c>
      <c r="C35" s="37" t="e">
        <f>+((C33/C37)^2-(C33^2))^(0.5)</f>
        <v>#DIV/0!</v>
      </c>
      <c r="D35" s="37" t="e">
        <f t="shared" si="8"/>
        <v>#DIV/0!</v>
      </c>
      <c r="E35" s="37" t="e">
        <f t="shared" si="8"/>
        <v>#DIV/0!</v>
      </c>
      <c r="F35" s="37" t="e">
        <f t="shared" si="8"/>
        <v>#DIV/0!</v>
      </c>
      <c r="G35" s="37">
        <f t="shared" si="8"/>
        <v>55.936341704864546</v>
      </c>
      <c r="H35" s="37" t="e">
        <f t="shared" si="8"/>
        <v>#DIV/0!</v>
      </c>
      <c r="I35" s="37" t="e">
        <f t="shared" si="8"/>
        <v>#DIV/0!</v>
      </c>
      <c r="J35" s="37" t="e">
        <f t="shared" si="8"/>
        <v>#DIV/0!</v>
      </c>
      <c r="K35" s="37" t="e">
        <f t="shared" si="8"/>
        <v>#DIV/0!</v>
      </c>
      <c r="L35" s="37" t="e">
        <f t="shared" si="8"/>
        <v>#DIV/0!</v>
      </c>
      <c r="M35" s="37" t="e">
        <f t="shared" si="8"/>
        <v>#DIV/0!</v>
      </c>
      <c r="N35" s="37" t="e">
        <f>+((N33/N37)^2-(N33^2))^(0.5)</f>
        <v>#DIV/0!</v>
      </c>
      <c r="O35" s="37"/>
      <c r="P35" s="4">
        <f>HLOOKUP(P33,B33:N35,3,FALSE)</f>
        <v>55.936341704864546</v>
      </c>
    </row>
    <row r="36" spans="1:17" x14ac:dyDescent="0.25">
      <c r="A36" s="3" t="s">
        <v>8</v>
      </c>
      <c r="B36" s="37">
        <f t="shared" ref="B36:M36" si="9">+B34/(24*B$8)</f>
        <v>0</v>
      </c>
      <c r="C36" s="37">
        <f>+C34/(24*C$8)</f>
        <v>0</v>
      </c>
      <c r="D36" s="37">
        <f t="shared" si="9"/>
        <v>0</v>
      </c>
      <c r="E36" s="37">
        <f t="shared" si="9"/>
        <v>0</v>
      </c>
      <c r="F36" s="37">
        <f t="shared" si="9"/>
        <v>0</v>
      </c>
      <c r="G36" s="37">
        <f t="shared" si="9"/>
        <v>-1.3440860215053765E-3</v>
      </c>
      <c r="H36" s="37">
        <f t="shared" si="9"/>
        <v>0</v>
      </c>
      <c r="I36" s="37">
        <f t="shared" si="9"/>
        <v>0</v>
      </c>
      <c r="J36" s="37">
        <f t="shared" si="9"/>
        <v>0</v>
      </c>
      <c r="K36" s="37">
        <f t="shared" si="9"/>
        <v>0</v>
      </c>
      <c r="L36" s="37">
        <f t="shared" si="9"/>
        <v>0</v>
      </c>
      <c r="M36" s="37">
        <f t="shared" si="9"/>
        <v>0</v>
      </c>
      <c r="N36" s="37">
        <f>+N34/(24*N$8)</f>
        <v>0</v>
      </c>
      <c r="O36" s="6">
        <f>SUM(O34)/(24*O$8)</f>
        <v>-1.0521885521885521E-4</v>
      </c>
      <c r="P36" s="4" t="e">
        <f>O34/(COUNTIF(B34:N34,"&gt;0")*720)</f>
        <v>#DIV/0!</v>
      </c>
    </row>
    <row r="37" spans="1:17" x14ac:dyDescent="0.25">
      <c r="A37" s="3" t="s">
        <v>9</v>
      </c>
      <c r="B37" s="380">
        <f>VLOOKUP($B$32,BancoTabla_1[],10,FALSE)</f>
        <v>0</v>
      </c>
      <c r="C37" s="380">
        <f>VLOOKUP($B$32,BancoTabla_2[],10,FALSE)</f>
        <v>0</v>
      </c>
      <c r="D37" s="380">
        <f>VLOOKUP($B$32,BancoTabla_3[],10,FALSE)</f>
        <v>0</v>
      </c>
      <c r="E37" s="380">
        <f>VLOOKUP($B$32,BancoTabla_4[],10,FALSE)</f>
        <v>0</v>
      </c>
      <c r="F37" s="380">
        <f>VLOOKUP($B$32,BancoTabla_5[],10,FALSE)</f>
        <v>0</v>
      </c>
      <c r="G37" s="380">
        <f>VLOOKUP($B$32,BancoTabla_6[],10,FALSE)</f>
        <v>0.99990000000000001</v>
      </c>
      <c r="H37" s="380">
        <f>VLOOKUP($B$32,BancoTabla_7[],10,FALSE)</f>
        <v>0</v>
      </c>
      <c r="I37" s="380">
        <f>VLOOKUP($B$32,BancoTabla_8[],10,FALSE)</f>
        <v>0</v>
      </c>
      <c r="J37" s="380">
        <f>VLOOKUP($B$32,BancoTabla_9[],10,FALSE)</f>
        <v>0</v>
      </c>
      <c r="K37" s="380">
        <f>VLOOKUP($B$32,BancoTabla_10[],10,FALSE)</f>
        <v>0</v>
      </c>
      <c r="L37" s="380">
        <f>VLOOKUP($B$32,BancoTabla_11[],10,FALSE)</f>
        <v>0</v>
      </c>
      <c r="M37" s="380">
        <f>VLOOKUP($B$32,BancoTabla_12[],10,FALSE)</f>
        <v>0</v>
      </c>
      <c r="N37" s="380">
        <f>VLOOKUP($B$32,BancoTabla_13[],10,FALSE)</f>
        <v>0</v>
      </c>
      <c r="O37" s="6"/>
      <c r="P37" s="4">
        <f>COS(ATAN(P35/P33))</f>
        <v>0.99990000000000012</v>
      </c>
    </row>
    <row r="38" spans="1:17" x14ac:dyDescent="0.25">
      <c r="A38" s="3" t="s">
        <v>17</v>
      </c>
      <c r="B38" s="37" t="e">
        <f>+B36/B33</f>
        <v>#DIV/0!</v>
      </c>
      <c r="C38" s="37" t="e">
        <f>+C36/C33</f>
        <v>#DIV/0!</v>
      </c>
      <c r="D38" s="37" t="e">
        <f>+D36/D33</f>
        <v>#DIV/0!</v>
      </c>
      <c r="E38" s="37" t="e">
        <f>+E36/E33</f>
        <v>#DIV/0!</v>
      </c>
      <c r="F38" s="37" t="e">
        <f>+F36/F33</f>
        <v>#DIV/0!</v>
      </c>
      <c r="G38" s="37">
        <f t="shared" ref="G38:M38" si="10">+G36/G33</f>
        <v>-3.3984475891412807E-7</v>
      </c>
      <c r="H38" s="37" t="e">
        <f t="shared" si="10"/>
        <v>#DIV/0!</v>
      </c>
      <c r="I38" s="37" t="e">
        <f t="shared" si="10"/>
        <v>#DIV/0!</v>
      </c>
      <c r="J38" s="37" t="e">
        <f t="shared" si="10"/>
        <v>#DIV/0!</v>
      </c>
      <c r="K38" s="37" t="e">
        <f t="shared" si="10"/>
        <v>#DIV/0!</v>
      </c>
      <c r="L38" s="37" t="e">
        <f t="shared" si="10"/>
        <v>#DIV/0!</v>
      </c>
      <c r="M38" s="37" t="e">
        <f t="shared" si="10"/>
        <v>#DIV/0!</v>
      </c>
      <c r="N38" s="37" t="e">
        <f>+N36/N33</f>
        <v>#DIV/0!</v>
      </c>
      <c r="O38" s="6"/>
      <c r="P38" s="4" t="e">
        <f>+P36/P33</f>
        <v>#DIV/0!</v>
      </c>
    </row>
    <row r="39" spans="1:17" x14ac:dyDescent="0.25">
      <c r="A39" s="3" t="s">
        <v>18</v>
      </c>
      <c r="B39" s="37" t="e">
        <f t="shared" ref="B39:M39" si="11">+B29/B33</f>
        <v>#N/A</v>
      </c>
      <c r="C39" s="37" t="e">
        <f>+C29/C33</f>
        <v>#N/A</v>
      </c>
      <c r="D39" s="37" t="e">
        <f t="shared" si="11"/>
        <v>#N/A</v>
      </c>
      <c r="E39" s="37" t="e">
        <f t="shared" si="11"/>
        <v>#N/A</v>
      </c>
      <c r="F39" s="37" t="e">
        <f t="shared" si="11"/>
        <v>#N/A</v>
      </c>
      <c r="G39" s="37" t="e">
        <f t="shared" si="11"/>
        <v>#N/A</v>
      </c>
      <c r="H39" s="37" t="e">
        <f t="shared" si="11"/>
        <v>#N/A</v>
      </c>
      <c r="I39" s="37" t="e">
        <f t="shared" si="11"/>
        <v>#N/A</v>
      </c>
      <c r="J39" s="37" t="e">
        <f t="shared" si="11"/>
        <v>#N/A</v>
      </c>
      <c r="K39" s="37" t="e">
        <f t="shared" si="11"/>
        <v>#N/A</v>
      </c>
      <c r="L39" s="37" t="e">
        <f t="shared" si="11"/>
        <v>#N/A</v>
      </c>
      <c r="M39" s="37" t="e">
        <f t="shared" si="11"/>
        <v>#N/A</v>
      </c>
      <c r="N39" s="37" t="e">
        <f>+N29/N33</f>
        <v>#N/A</v>
      </c>
      <c r="O39" s="6"/>
      <c r="P39" s="4" t="e">
        <f>+P29/P33</f>
        <v>#N/A</v>
      </c>
    </row>
    <row r="40" spans="1:17" x14ac:dyDescent="0.25">
      <c r="A40" s="3" t="s">
        <v>19</v>
      </c>
      <c r="B40" s="37">
        <f t="shared" ref="B40:N40" si="12">+B33/$B$41</f>
        <v>0</v>
      </c>
      <c r="C40" s="37">
        <f>+C33/$B$41</f>
        <v>0</v>
      </c>
      <c r="D40" s="37">
        <f t="shared" si="12"/>
        <v>0</v>
      </c>
      <c r="E40" s="37">
        <f t="shared" si="12"/>
        <v>0</v>
      </c>
      <c r="F40" s="37">
        <f t="shared" si="12"/>
        <v>0</v>
      </c>
      <c r="G40" s="37">
        <f t="shared" si="12"/>
        <v>0.42190885755242191</v>
      </c>
      <c r="H40" s="37">
        <f t="shared" si="12"/>
        <v>0</v>
      </c>
      <c r="I40" s="37">
        <f t="shared" si="12"/>
        <v>0</v>
      </c>
      <c r="J40" s="37">
        <f t="shared" si="12"/>
        <v>0</v>
      </c>
      <c r="K40" s="37">
        <f t="shared" si="12"/>
        <v>0</v>
      </c>
      <c r="L40" s="37">
        <f t="shared" si="12"/>
        <v>0</v>
      </c>
      <c r="M40" s="37">
        <f t="shared" si="12"/>
        <v>0</v>
      </c>
      <c r="N40" s="37">
        <f t="shared" si="12"/>
        <v>0</v>
      </c>
      <c r="O40" s="6"/>
      <c r="P40" s="4">
        <f>+P33/B41</f>
        <v>0.42190885755242191</v>
      </c>
    </row>
    <row r="41" spans="1:17" x14ac:dyDescent="0.25">
      <c r="A41" s="3" t="s">
        <v>20</v>
      </c>
      <c r="B41" s="37">
        <f>9.375*P37*1000</f>
        <v>9374.0625</v>
      </c>
      <c r="C41" s="37"/>
      <c r="D41" s="37"/>
      <c r="E41" s="37"/>
      <c r="F41" s="37"/>
      <c r="G41" s="37"/>
      <c r="H41" s="37"/>
      <c r="I41" s="249"/>
      <c r="J41" s="37"/>
      <c r="K41" s="37"/>
      <c r="L41" s="37"/>
      <c r="M41" s="37"/>
      <c r="N41" s="37"/>
      <c r="O41" s="37"/>
      <c r="P41" s="4"/>
    </row>
    <row r="42" spans="1:17" x14ac:dyDescent="0.25">
      <c r="B42" s="237">
        <f>B33/$B$41</f>
        <v>0</v>
      </c>
      <c r="C42" s="237">
        <f>C33/$B$41</f>
        <v>0</v>
      </c>
      <c r="D42" s="237">
        <f t="shared" ref="D42:N42" si="13">D33/$B$41</f>
        <v>0</v>
      </c>
      <c r="E42" s="237">
        <f t="shared" si="13"/>
        <v>0</v>
      </c>
      <c r="F42" s="237">
        <f t="shared" si="13"/>
        <v>0</v>
      </c>
      <c r="G42" s="237">
        <f t="shared" si="13"/>
        <v>0.42190885755242191</v>
      </c>
      <c r="H42" s="237">
        <f t="shared" si="13"/>
        <v>0</v>
      </c>
      <c r="I42" s="237">
        <f t="shared" si="13"/>
        <v>0</v>
      </c>
      <c r="J42" s="237">
        <f t="shared" si="13"/>
        <v>0</v>
      </c>
      <c r="K42" s="237">
        <f t="shared" si="13"/>
        <v>0</v>
      </c>
      <c r="L42" s="237">
        <f t="shared" si="13"/>
        <v>0</v>
      </c>
      <c r="M42" s="237">
        <f t="shared" si="13"/>
        <v>0</v>
      </c>
      <c r="N42" s="237">
        <f t="shared" si="13"/>
        <v>0</v>
      </c>
    </row>
    <row r="43" spans="1:17" x14ac:dyDescent="0.25"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</row>
    <row r="44" spans="1:17" x14ac:dyDescent="0.25">
      <c r="A44" s="15" t="s">
        <v>14</v>
      </c>
      <c r="B44" s="57"/>
      <c r="C44" s="57"/>
      <c r="D44" s="57"/>
      <c r="E44" s="57"/>
      <c r="F44" s="57"/>
      <c r="G44" s="57"/>
      <c r="H44" s="57"/>
      <c r="I44" s="57"/>
      <c r="J44" s="57"/>
      <c r="K44" s="57"/>
      <c r="L44" s="57"/>
      <c r="M44" s="57"/>
      <c r="N44" s="57"/>
      <c r="O44" s="16"/>
      <c r="P44" s="16"/>
    </row>
    <row r="45" spans="1:17" x14ac:dyDescent="0.25">
      <c r="A45" s="16" t="s">
        <v>11</v>
      </c>
      <c r="B45" s="63">
        <f>+B33</f>
        <v>0</v>
      </c>
      <c r="C45" s="63">
        <f>+C33</f>
        <v>0</v>
      </c>
      <c r="D45" s="63">
        <f t="shared" ref="D45:M46" si="14">+D33</f>
        <v>0</v>
      </c>
      <c r="E45" s="63">
        <f t="shared" si="14"/>
        <v>0</v>
      </c>
      <c r="F45" s="63">
        <f t="shared" si="14"/>
        <v>0</v>
      </c>
      <c r="G45" s="63">
        <f t="shared" si="14"/>
        <v>3955</v>
      </c>
      <c r="H45" s="63">
        <f t="shared" si="14"/>
        <v>0</v>
      </c>
      <c r="I45" s="63">
        <f t="shared" si="14"/>
        <v>0</v>
      </c>
      <c r="J45" s="63">
        <f t="shared" si="14"/>
        <v>0</v>
      </c>
      <c r="K45" s="63">
        <f t="shared" si="14"/>
        <v>0</v>
      </c>
      <c r="L45" s="63">
        <f t="shared" si="14"/>
        <v>0</v>
      </c>
      <c r="M45" s="63">
        <f t="shared" si="14"/>
        <v>0</v>
      </c>
      <c r="N45" s="63">
        <f>+N33</f>
        <v>0</v>
      </c>
      <c r="O45" s="16"/>
      <c r="P45" s="45">
        <f>MAX(B45:N45)</f>
        <v>3955</v>
      </c>
    </row>
    <row r="46" spans="1:17" x14ac:dyDescent="0.25">
      <c r="A46" s="16" t="s">
        <v>7</v>
      </c>
      <c r="B46" s="63">
        <f>+B34</f>
        <v>0</v>
      </c>
      <c r="C46" s="63">
        <f>+C34</f>
        <v>0</v>
      </c>
      <c r="D46" s="63">
        <f t="shared" si="14"/>
        <v>0</v>
      </c>
      <c r="E46" s="63">
        <f t="shared" si="14"/>
        <v>0</v>
      </c>
      <c r="F46" s="63">
        <f t="shared" si="14"/>
        <v>0</v>
      </c>
      <c r="G46" s="63">
        <f t="shared" si="14"/>
        <v>-1</v>
      </c>
      <c r="H46" s="63">
        <f t="shared" si="14"/>
        <v>0</v>
      </c>
      <c r="I46" s="63">
        <f t="shared" si="14"/>
        <v>0</v>
      </c>
      <c r="J46" s="63">
        <f t="shared" si="14"/>
        <v>0</v>
      </c>
      <c r="K46" s="63">
        <f t="shared" si="14"/>
        <v>0</v>
      </c>
      <c r="L46" s="63">
        <f t="shared" si="14"/>
        <v>0</v>
      </c>
      <c r="M46" s="63">
        <f t="shared" si="14"/>
        <v>0</v>
      </c>
      <c r="N46" s="63">
        <f>+N34</f>
        <v>0</v>
      </c>
      <c r="O46" s="45">
        <f>SUM(B46:N46)</f>
        <v>-1</v>
      </c>
      <c r="P46" s="45"/>
    </row>
    <row r="47" spans="1:17" x14ac:dyDescent="0.25"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P47" s="39"/>
    </row>
    <row r="48" spans="1:17" x14ac:dyDescent="0.25"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P48" s="39"/>
    </row>
    <row r="49" spans="1:16" x14ac:dyDescent="0.25">
      <c r="A49" s="12" t="s">
        <v>21</v>
      </c>
      <c r="B49" s="70"/>
      <c r="C49" s="70"/>
      <c r="D49" s="70"/>
      <c r="E49" s="70"/>
      <c r="F49" s="70"/>
      <c r="G49" s="71"/>
      <c r="H49" s="71"/>
      <c r="I49" s="71"/>
      <c r="J49" s="71"/>
      <c r="K49" s="67"/>
      <c r="L49" s="67"/>
      <c r="M49" s="67"/>
      <c r="N49" s="67"/>
      <c r="O49" s="13"/>
      <c r="P49" s="44"/>
    </row>
    <row r="50" spans="1:16" x14ac:dyDescent="0.25">
      <c r="A50" s="99" t="s">
        <v>6</v>
      </c>
      <c r="B50" s="101">
        <f>+B45</f>
        <v>0</v>
      </c>
      <c r="C50" s="101">
        <f>+C45</f>
        <v>0</v>
      </c>
      <c r="D50" s="101">
        <f t="shared" ref="D50:M50" si="15">+D45</f>
        <v>0</v>
      </c>
      <c r="E50" s="101">
        <f t="shared" si="15"/>
        <v>0</v>
      </c>
      <c r="F50" s="101">
        <f t="shared" si="15"/>
        <v>0</v>
      </c>
      <c r="G50" s="101">
        <f t="shared" si="15"/>
        <v>3955</v>
      </c>
      <c r="H50" s="101">
        <f t="shared" si="15"/>
        <v>0</v>
      </c>
      <c r="I50" s="101">
        <f t="shared" si="15"/>
        <v>0</v>
      </c>
      <c r="J50" s="101">
        <f t="shared" si="15"/>
        <v>0</v>
      </c>
      <c r="K50" s="101">
        <f t="shared" si="15"/>
        <v>0</v>
      </c>
      <c r="L50" s="101">
        <f t="shared" si="15"/>
        <v>0</v>
      </c>
      <c r="M50" s="101">
        <f t="shared" si="15"/>
        <v>0</v>
      </c>
      <c r="N50" s="101">
        <f>+N45</f>
        <v>0</v>
      </c>
      <c r="O50" s="102"/>
      <c r="P50" s="100">
        <f>MAX(B50:N50)</f>
        <v>3955</v>
      </c>
    </row>
    <row r="51" spans="1:16" x14ac:dyDescent="0.25">
      <c r="A51" s="103"/>
      <c r="B51" s="103" t="e">
        <f>+B45/B50</f>
        <v>#DIV/0!</v>
      </c>
      <c r="C51" s="103" t="e">
        <f>+C45/C50</f>
        <v>#DIV/0!</v>
      </c>
      <c r="D51" s="103" t="e">
        <f>+D45/D50</f>
        <v>#DIV/0!</v>
      </c>
      <c r="E51" s="103" t="e">
        <f t="shared" ref="E51:M51" si="16">+E45/E50</f>
        <v>#DIV/0!</v>
      </c>
      <c r="F51" s="103" t="e">
        <f t="shared" si="16"/>
        <v>#DIV/0!</v>
      </c>
      <c r="G51" s="103">
        <f t="shared" si="16"/>
        <v>1</v>
      </c>
      <c r="H51" s="103" t="e">
        <f t="shared" si="16"/>
        <v>#DIV/0!</v>
      </c>
      <c r="I51" s="103" t="e">
        <f t="shared" si="16"/>
        <v>#DIV/0!</v>
      </c>
      <c r="J51" s="103" t="e">
        <f t="shared" si="16"/>
        <v>#DIV/0!</v>
      </c>
      <c r="K51" s="103" t="e">
        <f t="shared" si="16"/>
        <v>#DIV/0!</v>
      </c>
      <c r="L51" s="103" t="e">
        <f t="shared" si="16"/>
        <v>#DIV/0!</v>
      </c>
      <c r="M51" s="103" t="e">
        <f t="shared" si="16"/>
        <v>#DIV/0!</v>
      </c>
      <c r="N51" s="103" t="e">
        <f>+N45/N50</f>
        <v>#DIV/0!</v>
      </c>
      <c r="O51" s="5"/>
      <c r="P51" s="103">
        <f>+P45/P50</f>
        <v>1</v>
      </c>
    </row>
    <row r="53" spans="1:16" x14ac:dyDescent="0.25">
      <c r="G53" s="61" t="s">
        <v>160</v>
      </c>
      <c r="H53" s="145" t="e">
        <f>P13+P20</f>
        <v>#N/A</v>
      </c>
    </row>
    <row r="54" spans="1:16" x14ac:dyDescent="0.25">
      <c r="G54" s="61" t="s">
        <v>161</v>
      </c>
      <c r="H54" s="145">
        <f>P33</f>
        <v>3955</v>
      </c>
    </row>
    <row r="55" spans="1:16" x14ac:dyDescent="0.25">
      <c r="G55" s="146" t="s">
        <v>162</v>
      </c>
      <c r="H55" s="147" t="e">
        <f>H53/H54</f>
        <v>#N/A</v>
      </c>
    </row>
    <row r="57" spans="1:16" x14ac:dyDescent="0.25">
      <c r="A57" s="271" t="s">
        <v>266</v>
      </c>
    </row>
    <row r="88" spans="1:1" x14ac:dyDescent="0.25">
      <c r="A88" s="271" t="s">
        <v>267</v>
      </c>
    </row>
    <row r="119" spans="1:1" x14ac:dyDescent="0.25">
      <c r="A119" s="272" t="s">
        <v>12</v>
      </c>
    </row>
  </sheetData>
  <mergeCells count="21">
    <mergeCell ref="O9:O10"/>
    <mergeCell ref="P9:P10"/>
    <mergeCell ref="F9:F10"/>
    <mergeCell ref="G9:G10"/>
    <mergeCell ref="H9:H10"/>
    <mergeCell ref="I9:I10"/>
    <mergeCell ref="J9:J10"/>
    <mergeCell ref="K9:K10"/>
    <mergeCell ref="N9:N10"/>
    <mergeCell ref="M9:M10"/>
    <mergeCell ref="E2:M2"/>
    <mergeCell ref="E3:M3"/>
    <mergeCell ref="E4:M4"/>
    <mergeCell ref="E5:M5"/>
    <mergeCell ref="E6:M6"/>
    <mergeCell ref="A9:A10"/>
    <mergeCell ref="B9:B10"/>
    <mergeCell ref="D9:D10"/>
    <mergeCell ref="E9:E10"/>
    <mergeCell ref="L9:L10"/>
    <mergeCell ref="C9:C10"/>
  </mergeCells>
  <phoneticPr fontId="17" type="noConversion"/>
  <printOptions horizontalCentered="1" verticalCentered="1"/>
  <pageMargins left="0.19685039370078741" right="0.19685039370078741" top="0.19685039370078741" bottom="0.19685039370078741" header="0" footer="0"/>
  <pageSetup orientation="landscape" horizontalDpi="300" verticalDpi="300" r:id="rId1"/>
  <headerFooter alignWithMargins="0">
    <oddFooter>&amp;RElaboro: Departamento de Planeacion Campeche</oddFooter>
  </headerFooter>
  <drawing r:id="rId2"/>
  <legacy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"/>
  <sheetViews>
    <sheetView workbookViewId="0"/>
  </sheetViews>
  <sheetFormatPr baseColWidth="10" defaultRowHeight="13.2" x14ac:dyDescent="0.25"/>
  <sheetData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2:R87"/>
  <sheetViews>
    <sheetView topLeftCell="B1" zoomScaleNormal="100" workbookViewId="0">
      <selection activeCell="B2" sqref="A2:IV2"/>
    </sheetView>
  </sheetViews>
  <sheetFormatPr baseColWidth="10" defaultColWidth="20.6640625" defaultRowHeight="13.2" x14ac:dyDescent="0.25"/>
  <cols>
    <col min="1" max="1" width="20.6640625" customWidth="1"/>
    <col min="2" max="2" width="5.5546875" customWidth="1"/>
    <col min="3" max="3" width="19.5546875" bestFit="1" customWidth="1"/>
    <col min="4" max="4" width="16.33203125" bestFit="1" customWidth="1"/>
    <col min="5" max="5" width="11.88671875" style="123" customWidth="1"/>
    <col min="6" max="17" width="11.6640625" customWidth="1"/>
  </cols>
  <sheetData>
    <row r="2" spans="2:18" x14ac:dyDescent="0.25">
      <c r="B2" s="173" t="s">
        <v>70</v>
      </c>
      <c r="C2" s="173" t="s">
        <v>275</v>
      </c>
      <c r="D2" s="173" t="s">
        <v>385</v>
      </c>
      <c r="E2" s="233" t="s">
        <v>71</v>
      </c>
      <c r="F2" s="173" t="s">
        <v>176</v>
      </c>
      <c r="G2" s="173" t="s">
        <v>177</v>
      </c>
      <c r="H2" s="173" t="s">
        <v>178</v>
      </c>
      <c r="I2" s="173" t="s">
        <v>179</v>
      </c>
      <c r="J2" s="173" t="s">
        <v>180</v>
      </c>
      <c r="K2" s="173" t="s">
        <v>181</v>
      </c>
      <c r="L2" s="173" t="s">
        <v>182</v>
      </c>
      <c r="M2" s="173" t="s">
        <v>183</v>
      </c>
      <c r="N2" s="173" t="s">
        <v>184</v>
      </c>
      <c r="O2" s="173" t="s">
        <v>185</v>
      </c>
      <c r="P2" s="173" t="s">
        <v>186</v>
      </c>
      <c r="Q2" s="173" t="s">
        <v>187</v>
      </c>
      <c r="R2" s="336" t="s">
        <v>419</v>
      </c>
    </row>
    <row r="3" spans="2:18" x14ac:dyDescent="0.25">
      <c r="B3" s="149">
        <v>1</v>
      </c>
      <c r="C3" s="118" t="s">
        <v>198</v>
      </c>
      <c r="D3" s="118">
        <v>13.8</v>
      </c>
      <c r="E3" s="127" t="s">
        <v>104</v>
      </c>
      <c r="F3" s="228">
        <f>'S.E KALA'!B13</f>
        <v>0</v>
      </c>
      <c r="G3" s="228">
        <f>'S.E KALA'!D13</f>
        <v>0</v>
      </c>
      <c r="H3" s="228">
        <f>'S.E KALA'!E13</f>
        <v>0</v>
      </c>
      <c r="I3" s="228">
        <f>'S.E KALA'!F13</f>
        <v>0</v>
      </c>
      <c r="J3" s="228">
        <f>'S.E KALA'!G13</f>
        <v>6044.0232740000001</v>
      </c>
      <c r="K3" s="228">
        <f>'S.E KALA'!H13</f>
        <v>0</v>
      </c>
      <c r="L3" s="228">
        <f>'S.E KALA'!I13</f>
        <v>0</v>
      </c>
      <c r="M3" s="228">
        <f>'S.E KALA'!J13</f>
        <v>0</v>
      </c>
      <c r="N3" s="228">
        <f>'S.E KALA'!K13</f>
        <v>0</v>
      </c>
      <c r="O3" s="228">
        <f>'S.E KALA'!L13</f>
        <v>0</v>
      </c>
      <c r="P3" s="228">
        <f>'S.E KALA'!M13</f>
        <v>0</v>
      </c>
      <c r="Q3" s="228">
        <f>'S.E KALA'!N13</f>
        <v>0</v>
      </c>
      <c r="R3" s="251">
        <f>MAX(F3:Q3)</f>
        <v>6044.0232740000001</v>
      </c>
    </row>
    <row r="4" spans="2:18" x14ac:dyDescent="0.25">
      <c r="B4" s="149">
        <f>B3+1</f>
        <v>2</v>
      </c>
      <c r="C4" s="118" t="s">
        <v>198</v>
      </c>
      <c r="D4" s="118">
        <v>13.8</v>
      </c>
      <c r="E4" s="127" t="s">
        <v>105</v>
      </c>
      <c r="F4" s="228" t="e">
        <f>'S.E KALA'!B20</f>
        <v>#N/A</v>
      </c>
      <c r="G4" s="228" t="e">
        <f>'S.E KALA'!D20</f>
        <v>#N/A</v>
      </c>
      <c r="H4" s="228" t="e">
        <f>'S.E KALA'!E20</f>
        <v>#N/A</v>
      </c>
      <c r="I4" s="228" t="e">
        <f>'S.E KALA'!F20</f>
        <v>#N/A</v>
      </c>
      <c r="J4" s="228" t="e">
        <f>'S.E KALA'!G20</f>
        <v>#N/A</v>
      </c>
      <c r="K4" s="228" t="e">
        <f>'S.E KALA'!H20</f>
        <v>#N/A</v>
      </c>
      <c r="L4" s="228" t="e">
        <f>'S.E KALA'!I20</f>
        <v>#N/A</v>
      </c>
      <c r="M4" s="228" t="e">
        <f>'S.E KALA'!J20</f>
        <v>#N/A</v>
      </c>
      <c r="N4" s="228" t="e">
        <f>'S.E KALA'!K20</f>
        <v>#N/A</v>
      </c>
      <c r="O4" s="228" t="e">
        <f>'S.E KALA'!L20</f>
        <v>#N/A</v>
      </c>
      <c r="P4" s="228" t="e">
        <f>'S.E KALA'!M20</f>
        <v>#N/A</v>
      </c>
      <c r="Q4" s="228" t="e">
        <f>'S.E KALA'!N20</f>
        <v>#N/A</v>
      </c>
      <c r="R4" s="251" t="e">
        <f t="shared" ref="R4:R67" si="0">MAX(F4:Q4)</f>
        <v>#N/A</v>
      </c>
    </row>
    <row r="5" spans="2:18" x14ac:dyDescent="0.25">
      <c r="B5" s="149">
        <f t="shared" ref="B5:B69" si="1">B4+1</f>
        <v>3</v>
      </c>
      <c r="C5" s="118" t="s">
        <v>198</v>
      </c>
      <c r="D5" s="118">
        <v>13.8</v>
      </c>
      <c r="E5" s="127" t="s">
        <v>106</v>
      </c>
      <c r="F5" s="228">
        <f>'S.E KALA'!B27</f>
        <v>0</v>
      </c>
      <c r="G5" s="228">
        <f>'S.E KALA'!D27</f>
        <v>0</v>
      </c>
      <c r="H5" s="228">
        <f>'S.E KALA'!E27</f>
        <v>0</v>
      </c>
      <c r="I5" s="228">
        <f>'S.E KALA'!F27</f>
        <v>0</v>
      </c>
      <c r="J5" s="228">
        <f>'S.E KALA'!G27</f>
        <v>7497.1483559999997</v>
      </c>
      <c r="K5" s="228">
        <f>'S.E KALA'!H27</f>
        <v>0</v>
      </c>
      <c r="L5" s="228">
        <f>'S.E KALA'!I27</f>
        <v>0</v>
      </c>
      <c r="M5" s="228">
        <f>'S.E KALA'!J27</f>
        <v>0</v>
      </c>
      <c r="N5" s="228">
        <f>'S.E KALA'!K27</f>
        <v>0</v>
      </c>
      <c r="O5" s="228">
        <f>'S.E KALA'!L27</f>
        <v>0</v>
      </c>
      <c r="P5" s="228">
        <f>'S.E KALA'!M27</f>
        <v>0</v>
      </c>
      <c r="Q5" s="61">
        <f>'S.E KALA'!N27</f>
        <v>0</v>
      </c>
      <c r="R5" s="251">
        <f t="shared" si="0"/>
        <v>7497.1483559999997</v>
      </c>
    </row>
    <row r="6" spans="2:18" x14ac:dyDescent="0.25">
      <c r="B6" s="149">
        <f t="shared" si="1"/>
        <v>4</v>
      </c>
      <c r="C6" s="118" t="s">
        <v>198</v>
      </c>
      <c r="D6" s="118">
        <v>13.8</v>
      </c>
      <c r="E6" s="127" t="s">
        <v>107</v>
      </c>
      <c r="F6" s="228">
        <f>'S.E KALA'!B34</f>
        <v>0</v>
      </c>
      <c r="G6" s="228">
        <f>'S.E KALA'!D34</f>
        <v>0</v>
      </c>
      <c r="H6" s="228">
        <f>'S.E KALA'!E34</f>
        <v>0</v>
      </c>
      <c r="I6" s="228">
        <f>'S.E KALA'!F34</f>
        <v>0</v>
      </c>
      <c r="J6" s="228">
        <f>'S.E KALA'!G34</f>
        <v>4172.9150390000004</v>
      </c>
      <c r="K6" s="228">
        <f>'S.E KALA'!H34</f>
        <v>0</v>
      </c>
      <c r="L6" s="228">
        <f>'S.E KALA'!I34</f>
        <v>0</v>
      </c>
      <c r="M6" s="228">
        <f>'S.E KALA'!J34</f>
        <v>0</v>
      </c>
      <c r="N6" s="228">
        <f>'S.E KALA'!K34</f>
        <v>0</v>
      </c>
      <c r="O6" s="228">
        <f>'S.E KALA'!L34</f>
        <v>0</v>
      </c>
      <c r="P6" s="228">
        <f>'S.E KALA'!M34</f>
        <v>0</v>
      </c>
      <c r="Q6" s="61">
        <f>'S.E KALA'!N34</f>
        <v>0</v>
      </c>
      <c r="R6" s="251">
        <f t="shared" si="0"/>
        <v>4172.9150390000004</v>
      </c>
    </row>
    <row r="7" spans="2:18" x14ac:dyDescent="0.25">
      <c r="B7" s="149">
        <f t="shared" si="1"/>
        <v>5</v>
      </c>
      <c r="C7" s="118" t="s">
        <v>198</v>
      </c>
      <c r="D7" s="118">
        <v>13.8</v>
      </c>
      <c r="E7" s="127" t="s">
        <v>93</v>
      </c>
      <c r="F7" s="228">
        <f>'S.E KALA'!B58</f>
        <v>0</v>
      </c>
      <c r="G7" s="228">
        <f>'S.E KALA'!D58</f>
        <v>0</v>
      </c>
      <c r="H7" s="228">
        <f>'S.E KALA'!E58</f>
        <v>0</v>
      </c>
      <c r="I7" s="228">
        <f>'S.E KALA'!F58</f>
        <v>0</v>
      </c>
      <c r="J7" s="228">
        <f>'S.E KALA'!G58</f>
        <v>4355.3299960000004</v>
      </c>
      <c r="K7" s="228">
        <f>'S.E KALA'!H58</f>
        <v>0</v>
      </c>
      <c r="L7" s="228">
        <f>'S.E KALA'!I58</f>
        <v>0</v>
      </c>
      <c r="M7" s="228">
        <f>'S.E KALA'!J58</f>
        <v>0</v>
      </c>
      <c r="N7" s="228">
        <f>'S.E KALA'!K58</f>
        <v>0</v>
      </c>
      <c r="O7" s="228">
        <f>'S.E KALA'!L58</f>
        <v>0</v>
      </c>
      <c r="P7" s="228">
        <f>'S.E KALA'!M58</f>
        <v>0</v>
      </c>
      <c r="Q7" s="61">
        <f>'S.E KALA'!N58</f>
        <v>0</v>
      </c>
      <c r="R7" s="251">
        <f t="shared" si="0"/>
        <v>4355.3299960000004</v>
      </c>
    </row>
    <row r="8" spans="2:18" x14ac:dyDescent="0.25">
      <c r="B8" s="149">
        <f t="shared" si="1"/>
        <v>6</v>
      </c>
      <c r="C8" s="118" t="s">
        <v>198</v>
      </c>
      <c r="D8" s="118">
        <v>13.8</v>
      </c>
      <c r="E8" s="127" t="s">
        <v>95</v>
      </c>
      <c r="F8" s="228">
        <f>'S.E KALA'!B65</f>
        <v>0</v>
      </c>
      <c r="G8" s="228">
        <f>'S.E KALA'!D65</f>
        <v>0</v>
      </c>
      <c r="H8" s="228">
        <f>'S.E KALA'!E65</f>
        <v>0</v>
      </c>
      <c r="I8" s="228">
        <f>'S.E KALA'!F65</f>
        <v>0</v>
      </c>
      <c r="J8" s="228">
        <f>'S.E KALA'!G65</f>
        <v>5072.4082840000001</v>
      </c>
      <c r="K8" s="228">
        <f>'S.E KALA'!H65</f>
        <v>0</v>
      </c>
      <c r="L8" s="228">
        <f>'S.E KALA'!I65</f>
        <v>0</v>
      </c>
      <c r="M8" s="228">
        <f>'S.E KALA'!J65</f>
        <v>0</v>
      </c>
      <c r="N8" s="228">
        <f>'S.E KALA'!K65</f>
        <v>0</v>
      </c>
      <c r="O8" s="228">
        <f>'S.E KALA'!L65</f>
        <v>0</v>
      </c>
      <c r="P8" s="228">
        <f>'S.E KALA'!M65</f>
        <v>0</v>
      </c>
      <c r="Q8" s="61">
        <f>'S.E KALA'!N65</f>
        <v>0</v>
      </c>
      <c r="R8" s="251">
        <f t="shared" si="0"/>
        <v>5072.4082840000001</v>
      </c>
    </row>
    <row r="9" spans="2:18" x14ac:dyDescent="0.25">
      <c r="B9" s="149">
        <f t="shared" si="1"/>
        <v>7</v>
      </c>
      <c r="C9" s="118" t="s">
        <v>198</v>
      </c>
      <c r="D9" s="118">
        <v>13.8</v>
      </c>
      <c r="E9" s="127" t="s">
        <v>96</v>
      </c>
      <c r="F9" s="228">
        <f>'S.E KALA'!B72</f>
        <v>0</v>
      </c>
      <c r="G9" s="228">
        <f>'S.E KALA'!D72</f>
        <v>0</v>
      </c>
      <c r="H9" s="228">
        <f>'S.E KALA'!E72</f>
        <v>0</v>
      </c>
      <c r="I9" s="228">
        <f>'S.E KALA'!F72</f>
        <v>0</v>
      </c>
      <c r="J9" s="228">
        <f>'S.E KALA'!G72</f>
        <v>5288.0467930000004</v>
      </c>
      <c r="K9" s="228">
        <f>'S.E KALA'!H72</f>
        <v>0</v>
      </c>
      <c r="L9" s="228">
        <f>'S.E KALA'!I72</f>
        <v>0</v>
      </c>
      <c r="M9" s="228">
        <f>'S.E KALA'!J72</f>
        <v>0</v>
      </c>
      <c r="N9" s="228">
        <f>'S.E KALA'!K72</f>
        <v>0</v>
      </c>
      <c r="O9" s="228">
        <f>'S.E KALA'!L72</f>
        <v>0</v>
      </c>
      <c r="P9" s="228">
        <f>'S.E KALA'!M72</f>
        <v>0</v>
      </c>
      <c r="Q9" s="61">
        <f>'S.E KALA'!N72</f>
        <v>0</v>
      </c>
      <c r="R9" s="251">
        <f t="shared" si="0"/>
        <v>5288.0467930000004</v>
      </c>
    </row>
    <row r="10" spans="2:18" x14ac:dyDescent="0.25">
      <c r="B10" s="149">
        <f t="shared" si="1"/>
        <v>8</v>
      </c>
      <c r="C10" s="118" t="s">
        <v>198</v>
      </c>
      <c r="D10" s="118">
        <v>13.8</v>
      </c>
      <c r="E10" s="127" t="s">
        <v>108</v>
      </c>
      <c r="F10" s="228">
        <f>'S.E LERMA'!B13</f>
        <v>0</v>
      </c>
      <c r="G10" s="228">
        <f>'S.E LERMA'!D13</f>
        <v>0</v>
      </c>
      <c r="H10" s="228">
        <f>'S.E LERMA'!E13</f>
        <v>0</v>
      </c>
      <c r="I10" s="228">
        <f>'S.E LERMA'!F13</f>
        <v>0</v>
      </c>
      <c r="J10" s="228">
        <f>'S.E LERMA'!G13</f>
        <v>4063.9716790000002</v>
      </c>
      <c r="K10" s="228">
        <f>'S.E LERMA'!H13</f>
        <v>0</v>
      </c>
      <c r="L10" s="228">
        <f>'S.E LERMA'!I13</f>
        <v>0</v>
      </c>
      <c r="M10" s="228">
        <f>'S.E LERMA'!J13</f>
        <v>0</v>
      </c>
      <c r="N10" s="228">
        <f>'S.E LERMA'!K13</f>
        <v>0</v>
      </c>
      <c r="O10" s="228">
        <f>'S.E LERMA'!L13</f>
        <v>0</v>
      </c>
      <c r="P10" s="228">
        <f>'S.E LERMA'!M13</f>
        <v>0</v>
      </c>
      <c r="Q10" s="61">
        <f>'S.E LERMA'!N13</f>
        <v>0</v>
      </c>
      <c r="R10" s="251">
        <f t="shared" si="0"/>
        <v>4063.9716790000002</v>
      </c>
    </row>
    <row r="11" spans="2:18" x14ac:dyDescent="0.25">
      <c r="B11" s="149">
        <f t="shared" si="1"/>
        <v>9</v>
      </c>
      <c r="C11" s="118" t="s">
        <v>198</v>
      </c>
      <c r="D11" s="118">
        <v>13.8</v>
      </c>
      <c r="E11" s="127" t="s">
        <v>97</v>
      </c>
      <c r="F11" s="228">
        <f>'S.E SAMULA II'!B13</f>
        <v>0</v>
      </c>
      <c r="G11" s="228">
        <f>'S.E SAMULA II'!D13</f>
        <v>0</v>
      </c>
      <c r="H11" s="228">
        <f>'S.E SAMULA II'!E13</f>
        <v>0</v>
      </c>
      <c r="I11" s="228">
        <f>'S.E SAMULA II'!F13</f>
        <v>0</v>
      </c>
      <c r="J11" s="228">
        <f>'S.E SAMULA II'!G13</f>
        <v>2780.0500080000002</v>
      </c>
      <c r="K11" s="228">
        <f>'S.E SAMULA II'!H13</f>
        <v>0</v>
      </c>
      <c r="L11" s="228">
        <f>'S.E SAMULA II'!I13</f>
        <v>0</v>
      </c>
      <c r="M11" s="228">
        <f>'S.E SAMULA II'!J13</f>
        <v>0</v>
      </c>
      <c r="N11" s="228">
        <f>'S.E SAMULA II'!K13</f>
        <v>0</v>
      </c>
      <c r="O11" s="228">
        <f>'S.E SAMULA II'!L13</f>
        <v>0</v>
      </c>
      <c r="P11" s="228">
        <f>'S.E SAMULA II'!M13</f>
        <v>0</v>
      </c>
      <c r="Q11" s="61">
        <f>'S.E SAMULA II'!N13</f>
        <v>0</v>
      </c>
      <c r="R11" s="251">
        <f t="shared" si="0"/>
        <v>2780.0500080000002</v>
      </c>
    </row>
    <row r="12" spans="2:18" x14ac:dyDescent="0.25">
      <c r="B12" s="149">
        <f t="shared" si="1"/>
        <v>10</v>
      </c>
      <c r="C12" s="118" t="s">
        <v>198</v>
      </c>
      <c r="D12" s="118">
        <v>13.8</v>
      </c>
      <c r="E12" s="127" t="s">
        <v>98</v>
      </c>
      <c r="F12" s="228">
        <f>'S.E SAMULA II'!B20</f>
        <v>0</v>
      </c>
      <c r="G12" s="228">
        <f>'S.E SAMULA II'!D20</f>
        <v>0</v>
      </c>
      <c r="H12" s="228">
        <f>'S.E SAMULA II'!E20</f>
        <v>0</v>
      </c>
      <c r="I12" s="228">
        <f>'S.E SAMULA II'!F20</f>
        <v>0</v>
      </c>
      <c r="J12" s="228">
        <f>'S.E SAMULA II'!G20</f>
        <v>5820.4299309999997</v>
      </c>
      <c r="K12" s="228">
        <f>'S.E SAMULA II'!H20</f>
        <v>0</v>
      </c>
      <c r="L12" s="228">
        <f>'S.E SAMULA II'!I20</f>
        <v>0</v>
      </c>
      <c r="M12" s="228">
        <f>'S.E SAMULA II'!J20</f>
        <v>0</v>
      </c>
      <c r="N12" s="228">
        <f>'S.E SAMULA II'!K20</f>
        <v>0</v>
      </c>
      <c r="O12" s="228">
        <f>'S.E SAMULA II'!L20</f>
        <v>0</v>
      </c>
      <c r="P12" s="228">
        <f>'S.E SAMULA II'!M20</f>
        <v>0</v>
      </c>
      <c r="Q12" s="61">
        <f>'S.E SAMULA II'!N20</f>
        <v>0</v>
      </c>
      <c r="R12" s="251">
        <f t="shared" si="0"/>
        <v>5820.4299309999997</v>
      </c>
    </row>
    <row r="13" spans="2:18" x14ac:dyDescent="0.25">
      <c r="B13" s="149">
        <f t="shared" si="1"/>
        <v>11</v>
      </c>
      <c r="C13" s="118" t="s">
        <v>198</v>
      </c>
      <c r="D13" s="118">
        <v>13.8</v>
      </c>
      <c r="E13" s="127" t="s">
        <v>99</v>
      </c>
      <c r="F13" s="228">
        <f>'S.E SAMULA II'!B27</f>
        <v>0</v>
      </c>
      <c r="G13" s="228">
        <f>'S.E SAMULA II'!D27</f>
        <v>0</v>
      </c>
      <c r="H13" s="228">
        <f>'S.E SAMULA II'!E27</f>
        <v>0</v>
      </c>
      <c r="I13" s="228">
        <f>'S.E SAMULA II'!F27</f>
        <v>0</v>
      </c>
      <c r="J13" s="228">
        <f>'S.E SAMULA II'!G27</f>
        <v>6560.779947</v>
      </c>
      <c r="K13" s="228">
        <f>'S.E SAMULA II'!H27</f>
        <v>0</v>
      </c>
      <c r="L13" s="228">
        <f>'S.E SAMULA II'!I27</f>
        <v>0</v>
      </c>
      <c r="M13" s="228">
        <f>'S.E SAMULA II'!J27</f>
        <v>0</v>
      </c>
      <c r="N13" s="228">
        <f>'S.E SAMULA II'!K27</f>
        <v>0</v>
      </c>
      <c r="O13" s="228">
        <f>'S.E SAMULA II'!L27</f>
        <v>0</v>
      </c>
      <c r="P13" s="228">
        <f>'S.E SAMULA II'!M27</f>
        <v>0</v>
      </c>
      <c r="Q13" s="61">
        <f>'S.E SAMULA II'!N27</f>
        <v>0</v>
      </c>
      <c r="R13" s="251">
        <f t="shared" si="0"/>
        <v>6560.779947</v>
      </c>
    </row>
    <row r="14" spans="2:18" x14ac:dyDescent="0.25">
      <c r="B14" s="149">
        <f t="shared" si="1"/>
        <v>12</v>
      </c>
      <c r="C14" s="118" t="s">
        <v>198</v>
      </c>
      <c r="D14" s="118">
        <v>13.8</v>
      </c>
      <c r="E14" s="127" t="s">
        <v>100</v>
      </c>
      <c r="F14" s="228">
        <f>'S.E SAMULA II'!B34</f>
        <v>0</v>
      </c>
      <c r="G14" s="228">
        <f>'S.E SAMULA II'!D34</f>
        <v>0</v>
      </c>
      <c r="H14" s="228">
        <f>'S.E SAMULA II'!E34</f>
        <v>0</v>
      </c>
      <c r="I14" s="228">
        <f>'S.E SAMULA II'!F34</f>
        <v>0</v>
      </c>
      <c r="J14" s="228">
        <f>'S.E SAMULA II'!G34</f>
        <v>5133.3416340000003</v>
      </c>
      <c r="K14" s="228">
        <f>'S.E SAMULA II'!H34</f>
        <v>0</v>
      </c>
      <c r="L14" s="228">
        <f>'S.E SAMULA II'!I34</f>
        <v>0</v>
      </c>
      <c r="M14" s="228">
        <f>'S.E SAMULA II'!J34</f>
        <v>0</v>
      </c>
      <c r="N14" s="228">
        <f>'S.E SAMULA II'!K34</f>
        <v>0</v>
      </c>
      <c r="O14" s="228">
        <f>'S.E SAMULA II'!L34</f>
        <v>0</v>
      </c>
      <c r="P14" s="228">
        <f>'S.E SAMULA II'!M34</f>
        <v>0</v>
      </c>
      <c r="Q14" s="61">
        <f>'S.E SAMULA II'!N34</f>
        <v>0</v>
      </c>
      <c r="R14" s="251">
        <f t="shared" si="0"/>
        <v>5133.3416340000003</v>
      </c>
    </row>
    <row r="15" spans="2:18" x14ac:dyDescent="0.25">
      <c r="B15" s="149">
        <f t="shared" si="1"/>
        <v>13</v>
      </c>
      <c r="C15" s="118" t="s">
        <v>198</v>
      </c>
      <c r="D15" s="118">
        <v>13.8</v>
      </c>
      <c r="E15" s="127" t="s">
        <v>101</v>
      </c>
      <c r="F15" s="228">
        <f>'S.E SAMULA II'!B41</f>
        <v>0</v>
      </c>
      <c r="G15" s="228">
        <f>'S.E SAMULA II'!D41</f>
        <v>0</v>
      </c>
      <c r="H15" s="228">
        <f>'S.E SAMULA II'!E41</f>
        <v>0</v>
      </c>
      <c r="I15" s="228">
        <f>'S.E SAMULA II'!F41</f>
        <v>0</v>
      </c>
      <c r="J15" s="228">
        <f>'S.E SAMULA II'!G41</f>
        <v>2853.6151249999998</v>
      </c>
      <c r="K15" s="228">
        <f>'S.E SAMULA II'!H41</f>
        <v>0</v>
      </c>
      <c r="L15" s="228">
        <f>'S.E SAMULA II'!I41</f>
        <v>0</v>
      </c>
      <c r="M15" s="228">
        <f>'S.E SAMULA II'!J41</f>
        <v>0</v>
      </c>
      <c r="N15" s="228">
        <f>'S.E SAMULA II'!K41</f>
        <v>0</v>
      </c>
      <c r="O15" s="228">
        <f>'S.E SAMULA II'!L41</f>
        <v>0</v>
      </c>
      <c r="P15" s="228">
        <f>'S.E SAMULA II'!M41</f>
        <v>0</v>
      </c>
      <c r="Q15" s="61">
        <f>'S.E SAMULA II'!N41</f>
        <v>0</v>
      </c>
      <c r="R15" s="251">
        <f t="shared" si="0"/>
        <v>2853.6151249999998</v>
      </c>
    </row>
    <row r="16" spans="2:18" x14ac:dyDescent="0.25">
      <c r="B16" s="149">
        <f t="shared" si="1"/>
        <v>14</v>
      </c>
      <c r="C16" s="118" t="s">
        <v>198</v>
      </c>
      <c r="D16" s="118">
        <v>13.8</v>
      </c>
      <c r="E16" s="127" t="s">
        <v>102</v>
      </c>
      <c r="F16" s="228">
        <f>'S.E SAMULA II'!B48</f>
        <v>0</v>
      </c>
      <c r="G16" s="228">
        <f>'S.E SAMULA II'!D48</f>
        <v>0</v>
      </c>
      <c r="H16" s="228">
        <f>'S.E SAMULA II'!E48</f>
        <v>0</v>
      </c>
      <c r="I16" s="228">
        <f>'S.E SAMULA II'!F48</f>
        <v>0</v>
      </c>
      <c r="J16" s="228">
        <f>'S.E SAMULA II'!G48</f>
        <v>3946.4200030000002</v>
      </c>
      <c r="K16" s="228">
        <f>'S.E SAMULA II'!H48</f>
        <v>0</v>
      </c>
      <c r="L16" s="228">
        <f>'S.E SAMULA II'!I48</f>
        <v>0</v>
      </c>
      <c r="M16" s="228">
        <f>'S.E SAMULA II'!J48</f>
        <v>0</v>
      </c>
      <c r="N16" s="228">
        <f>'S.E SAMULA II'!K48</f>
        <v>0</v>
      </c>
      <c r="O16" s="228">
        <f>'S.E SAMULA II'!L48</f>
        <v>0</v>
      </c>
      <c r="P16" s="228">
        <f>'S.E SAMULA II'!M48</f>
        <v>0</v>
      </c>
      <c r="Q16" s="61">
        <f>'S.E SAMULA II'!N48</f>
        <v>0</v>
      </c>
      <c r="R16" s="251">
        <f t="shared" si="0"/>
        <v>3946.4200030000002</v>
      </c>
    </row>
    <row r="17" spans="2:18" x14ac:dyDescent="0.25">
      <c r="B17" s="161">
        <f t="shared" si="1"/>
        <v>15</v>
      </c>
      <c r="C17" s="118" t="s">
        <v>198</v>
      </c>
      <c r="D17" s="118">
        <v>13.8</v>
      </c>
      <c r="E17" s="128" t="s">
        <v>299</v>
      </c>
      <c r="F17" s="326">
        <f>'S.E SAMULA SF6'!B13</f>
        <v>0</v>
      </c>
      <c r="G17" s="326">
        <f>'S.E SAMULA SF6'!D13</f>
        <v>0</v>
      </c>
      <c r="H17" s="326">
        <f>'S.E SAMULA SF6'!E13</f>
        <v>0</v>
      </c>
      <c r="I17" s="326">
        <f>'S.E SAMULA SF6'!F13</f>
        <v>0</v>
      </c>
      <c r="J17" s="326">
        <f>'S.E SAMULA SF6'!G13</f>
        <v>3596.1183259999998</v>
      </c>
      <c r="K17" s="326">
        <f>'S.E SAMULA SF6'!H13</f>
        <v>0</v>
      </c>
      <c r="L17" s="326">
        <f>'S.E SAMULA SF6'!I13</f>
        <v>0</v>
      </c>
      <c r="M17" s="326">
        <f>'S.E SAMULA SF6'!J13</f>
        <v>0</v>
      </c>
      <c r="N17" s="326">
        <f>'S.E SAMULA SF6'!K13</f>
        <v>0</v>
      </c>
      <c r="O17" s="326">
        <f>'S.E SAMULA SF6'!L13</f>
        <v>0</v>
      </c>
      <c r="P17" s="326">
        <f>'S.E SAMULA SF6'!M13</f>
        <v>0</v>
      </c>
      <c r="Q17" s="316">
        <f>'S.E SAMULA SF6'!N13</f>
        <v>0</v>
      </c>
      <c r="R17" s="251">
        <f t="shared" si="0"/>
        <v>3596.1183259999998</v>
      </c>
    </row>
    <row r="18" spans="2:18" x14ac:dyDescent="0.25">
      <c r="B18" s="161">
        <f t="shared" si="1"/>
        <v>16</v>
      </c>
      <c r="C18" s="118" t="s">
        <v>198</v>
      </c>
      <c r="D18" s="118">
        <v>13.8</v>
      </c>
      <c r="E18" s="128" t="s">
        <v>300</v>
      </c>
      <c r="F18" s="326">
        <f>'S.E SAMULA SF6'!B20</f>
        <v>0</v>
      </c>
      <c r="G18" s="326">
        <f>'S.E SAMULA SF6'!D20</f>
        <v>0</v>
      </c>
      <c r="H18" s="326">
        <f>'S.E SAMULA SF6'!E20</f>
        <v>0</v>
      </c>
      <c r="I18" s="326">
        <f>'S.E SAMULA SF6'!F20</f>
        <v>0</v>
      </c>
      <c r="J18" s="326">
        <f>'S.E SAMULA SF6'!G20</f>
        <v>4706.8116040000004</v>
      </c>
      <c r="K18" s="326">
        <f>'S.E SAMULA SF6'!H20</f>
        <v>0</v>
      </c>
      <c r="L18" s="326">
        <f>'S.E SAMULA SF6'!I20</f>
        <v>0</v>
      </c>
      <c r="M18" s="326">
        <f>'S.E SAMULA SF6'!J20</f>
        <v>0</v>
      </c>
      <c r="N18" s="326">
        <f>'S.E SAMULA SF6'!K20</f>
        <v>0</v>
      </c>
      <c r="O18" s="326">
        <f>'S.E SAMULA SF6'!L20</f>
        <v>0</v>
      </c>
      <c r="P18" s="326">
        <f>'S.E SAMULA SF6'!M20</f>
        <v>0</v>
      </c>
      <c r="Q18" s="160">
        <f>'S.E SAMULA SF6'!N20</f>
        <v>0</v>
      </c>
      <c r="R18" s="251">
        <f t="shared" si="0"/>
        <v>4706.8116040000004</v>
      </c>
    </row>
    <row r="19" spans="2:18" x14ac:dyDescent="0.25">
      <c r="B19" s="161">
        <f t="shared" si="1"/>
        <v>17</v>
      </c>
      <c r="C19" s="118" t="s">
        <v>198</v>
      </c>
      <c r="D19" s="118">
        <v>13.8</v>
      </c>
      <c r="E19" s="128" t="s">
        <v>301</v>
      </c>
      <c r="F19" s="326">
        <f>'S.E SAMULA SF6'!B27</f>
        <v>0</v>
      </c>
      <c r="G19" s="326">
        <f>'S.E SAMULA SF6'!D27</f>
        <v>0</v>
      </c>
      <c r="H19" s="326">
        <f>'S.E SAMULA SF6'!E27</f>
        <v>0</v>
      </c>
      <c r="I19" s="326">
        <f>'S.E SAMULA SF6'!F27</f>
        <v>0</v>
      </c>
      <c r="J19" s="326">
        <f>'S.E SAMULA SF6'!G27</f>
        <v>3525.1966550000002</v>
      </c>
      <c r="K19" s="326">
        <f>'S.E SAMULA SF6'!H27</f>
        <v>0</v>
      </c>
      <c r="L19" s="326">
        <f>'S.E SAMULA SF6'!I27</f>
        <v>0</v>
      </c>
      <c r="M19" s="326">
        <f>'S.E SAMULA SF6'!J27</f>
        <v>0</v>
      </c>
      <c r="N19" s="326">
        <f>'S.E SAMULA SF6'!K27</f>
        <v>0</v>
      </c>
      <c r="O19" s="326">
        <f>'S.E SAMULA SF6'!L27</f>
        <v>0</v>
      </c>
      <c r="P19" s="326">
        <f>'S.E SAMULA SF6'!M27</f>
        <v>0</v>
      </c>
      <c r="Q19" s="160">
        <f>'S.E SAMULA SF6'!N27</f>
        <v>0</v>
      </c>
      <c r="R19" s="251">
        <f t="shared" si="0"/>
        <v>3525.1966550000002</v>
      </c>
    </row>
    <row r="20" spans="2:18" x14ac:dyDescent="0.25">
      <c r="B20" s="161">
        <f t="shared" si="1"/>
        <v>18</v>
      </c>
      <c r="C20" s="118" t="s">
        <v>198</v>
      </c>
      <c r="D20" s="118">
        <v>13.8</v>
      </c>
      <c r="E20" s="128" t="s">
        <v>302</v>
      </c>
      <c r="F20" s="326">
        <f>'S.E SAMULA SF6'!B34</f>
        <v>0</v>
      </c>
      <c r="G20" s="326">
        <f>'S.E SAMULA SF6'!D34</f>
        <v>0</v>
      </c>
      <c r="H20" s="326">
        <f>'S.E SAMULA SF6'!E34</f>
        <v>0</v>
      </c>
      <c r="I20" s="326">
        <f>'S.E SAMULA SF6'!F34</f>
        <v>0</v>
      </c>
      <c r="J20" s="326">
        <f>'S.E SAMULA SF6'!G34</f>
        <v>3676.6433099999999</v>
      </c>
      <c r="K20" s="326">
        <f>'S.E SAMULA SF6'!H34</f>
        <v>0</v>
      </c>
      <c r="L20" s="326">
        <f>'S.E SAMULA SF6'!I34</f>
        <v>0</v>
      </c>
      <c r="M20" s="326">
        <f>'S.E SAMULA SF6'!J34</f>
        <v>0</v>
      </c>
      <c r="N20" s="326">
        <f>'S.E SAMULA SF6'!K34</f>
        <v>0</v>
      </c>
      <c r="O20" s="326">
        <f>'S.E SAMULA SF6'!L34</f>
        <v>0</v>
      </c>
      <c r="P20" s="326">
        <f>'S.E SAMULA SF6'!M34</f>
        <v>0</v>
      </c>
      <c r="Q20" s="316">
        <f>'S.E SAMULA SF6'!N34</f>
        <v>0</v>
      </c>
      <c r="R20" s="251">
        <f t="shared" si="0"/>
        <v>3676.6433099999999</v>
      </c>
    </row>
    <row r="21" spans="2:18" x14ac:dyDescent="0.25">
      <c r="B21" s="161">
        <f t="shared" si="1"/>
        <v>19</v>
      </c>
      <c r="C21" s="118" t="s">
        <v>198</v>
      </c>
      <c r="D21" s="118">
        <v>13.8</v>
      </c>
      <c r="E21" s="128" t="s">
        <v>303</v>
      </c>
      <c r="F21" s="326">
        <f>'S.E SAMULA SF6'!B41</f>
        <v>0</v>
      </c>
      <c r="G21" s="326">
        <f>'S.E SAMULA SF6'!D41</f>
        <v>0</v>
      </c>
      <c r="H21" s="326">
        <f>'S.E SAMULA SF6'!E41</f>
        <v>0</v>
      </c>
      <c r="I21" s="326">
        <f>'S.E SAMULA SF6'!F41</f>
        <v>0</v>
      </c>
      <c r="J21" s="326">
        <f>'S.E SAMULA SF6'!G41</f>
        <v>3728.7600090000001</v>
      </c>
      <c r="K21" s="326">
        <f>'S.E SAMULA SF6'!H41</f>
        <v>0</v>
      </c>
      <c r="L21" s="326">
        <f>'S.E SAMULA SF6'!I41</f>
        <v>0</v>
      </c>
      <c r="M21" s="326">
        <f>'S.E SAMULA SF6'!J41</f>
        <v>0</v>
      </c>
      <c r="N21" s="326">
        <f>'S.E SAMULA SF6'!K41</f>
        <v>0</v>
      </c>
      <c r="O21" s="326">
        <f>'S.E SAMULA SF6'!L41</f>
        <v>0</v>
      </c>
      <c r="P21" s="326">
        <f>'S.E SAMULA SF6'!M41</f>
        <v>0</v>
      </c>
      <c r="Q21" s="316">
        <f>'S.E SAMULA SF6'!N41</f>
        <v>0</v>
      </c>
      <c r="R21" s="251">
        <f t="shared" si="0"/>
        <v>3728.7600090000001</v>
      </c>
    </row>
    <row r="22" spans="2:18" x14ac:dyDescent="0.25">
      <c r="B22" s="149">
        <f t="shared" si="1"/>
        <v>20</v>
      </c>
      <c r="C22" s="118" t="s">
        <v>198</v>
      </c>
      <c r="D22" s="118">
        <v>13.8</v>
      </c>
      <c r="E22" s="128" t="s">
        <v>304</v>
      </c>
      <c r="F22" s="326">
        <f>'S.E SAMULA SF6'!B65</f>
        <v>0</v>
      </c>
      <c r="G22" s="326">
        <f>'S.E SAMULA SF6'!D65</f>
        <v>0</v>
      </c>
      <c r="H22" s="326">
        <f>'S.E SAMULA SF6'!E65</f>
        <v>0</v>
      </c>
      <c r="I22" s="326">
        <f>'S.E SAMULA SF6'!F65</f>
        <v>0</v>
      </c>
      <c r="J22" s="326">
        <f>'S.E SAMULA SF6'!G65</f>
        <v>4086.1933589999999</v>
      </c>
      <c r="K22" s="326">
        <f>'S.E SAMULA SF6'!H65</f>
        <v>0</v>
      </c>
      <c r="L22" s="326">
        <f>'S.E SAMULA SF6'!I65</f>
        <v>0</v>
      </c>
      <c r="M22" s="326">
        <f>'S.E SAMULA SF6'!J65</f>
        <v>0</v>
      </c>
      <c r="N22" s="326">
        <f>'S.E SAMULA SF6'!K65</f>
        <v>0</v>
      </c>
      <c r="O22" s="326">
        <f>'S.E SAMULA SF6'!L65</f>
        <v>0</v>
      </c>
      <c r="P22" s="326">
        <f>'S.E SAMULA SF6'!M65</f>
        <v>0</v>
      </c>
      <c r="Q22" s="160">
        <f>'S.E SAMULA SF6'!N65</f>
        <v>0</v>
      </c>
      <c r="R22" s="251">
        <f t="shared" si="0"/>
        <v>4086.1933589999999</v>
      </c>
    </row>
    <row r="23" spans="2:18" x14ac:dyDescent="0.25">
      <c r="B23" s="149">
        <f t="shared" si="1"/>
        <v>21</v>
      </c>
      <c r="C23" s="118" t="s">
        <v>198</v>
      </c>
      <c r="D23" s="118">
        <v>13.8</v>
      </c>
      <c r="E23" s="128" t="s">
        <v>305</v>
      </c>
      <c r="F23" s="326">
        <f>'S.E SAMULA SF6'!B72</f>
        <v>0</v>
      </c>
      <c r="G23" s="326">
        <f>'S.E SAMULA SF6'!D72</f>
        <v>0</v>
      </c>
      <c r="H23" s="326">
        <f>'S.E SAMULA SF6'!E72</f>
        <v>0</v>
      </c>
      <c r="I23" s="326">
        <f>'S.E SAMULA SF6'!F72</f>
        <v>0</v>
      </c>
      <c r="J23" s="326">
        <f>'S.E SAMULA SF6'!G72</f>
        <v>5578.8033850000002</v>
      </c>
      <c r="K23" s="326">
        <f>'S.E SAMULA SF6'!H72</f>
        <v>0</v>
      </c>
      <c r="L23" s="326">
        <f>'S.E SAMULA SF6'!I72</f>
        <v>0</v>
      </c>
      <c r="M23" s="326">
        <f>'S.E SAMULA SF6'!J72</f>
        <v>0</v>
      </c>
      <c r="N23" s="326">
        <f>'S.E SAMULA SF6'!K72</f>
        <v>0</v>
      </c>
      <c r="O23" s="326">
        <f>'S.E SAMULA SF6'!L72</f>
        <v>0</v>
      </c>
      <c r="P23" s="326">
        <f>'S.E SAMULA SF6'!M72</f>
        <v>0</v>
      </c>
      <c r="Q23" s="160">
        <f>'S.E SAMULA SF6'!N72</f>
        <v>0</v>
      </c>
      <c r="R23" s="251">
        <f t="shared" si="0"/>
        <v>5578.8033850000002</v>
      </c>
    </row>
    <row r="24" spans="2:18" x14ac:dyDescent="0.25">
      <c r="B24" s="149">
        <f t="shared" si="1"/>
        <v>22</v>
      </c>
      <c r="C24" s="118" t="s">
        <v>198</v>
      </c>
      <c r="D24" s="118">
        <v>13.8</v>
      </c>
      <c r="E24" s="128" t="s">
        <v>306</v>
      </c>
      <c r="F24" s="326">
        <f>'S.E SAMULA SF6'!B79</f>
        <v>0</v>
      </c>
      <c r="G24" s="326">
        <f>'S.E SAMULA SF6'!D79</f>
        <v>0</v>
      </c>
      <c r="H24" s="326">
        <f>'S.E SAMULA SF6'!E79</f>
        <v>0</v>
      </c>
      <c r="I24" s="326">
        <f>'S.E SAMULA SF6'!F79</f>
        <v>0</v>
      </c>
      <c r="J24" s="326">
        <f>'S.E SAMULA SF6'!G79</f>
        <v>2670.6183259999998</v>
      </c>
      <c r="K24" s="326">
        <f>'S.E SAMULA SF6'!H79</f>
        <v>0</v>
      </c>
      <c r="L24" s="326">
        <f>'S.E SAMULA SF6'!I79</f>
        <v>0</v>
      </c>
      <c r="M24" s="326">
        <f>'S.E SAMULA SF6'!J79</f>
        <v>0</v>
      </c>
      <c r="N24" s="326">
        <f>'S.E SAMULA SF6'!K79</f>
        <v>0</v>
      </c>
      <c r="O24" s="326">
        <f>'S.E SAMULA SF6'!L79</f>
        <v>0</v>
      </c>
      <c r="P24" s="326">
        <f>'S.E SAMULA SF6'!M79</f>
        <v>0</v>
      </c>
      <c r="Q24" s="160">
        <f>'S.E SAMULA SF6'!N79</f>
        <v>0</v>
      </c>
      <c r="R24" s="251">
        <f t="shared" si="0"/>
        <v>2670.6183259999998</v>
      </c>
    </row>
    <row r="25" spans="2:18" x14ac:dyDescent="0.25">
      <c r="B25" s="149">
        <f t="shared" si="1"/>
        <v>23</v>
      </c>
      <c r="C25" s="118" t="s">
        <v>198</v>
      </c>
      <c r="D25" s="118">
        <v>13.8</v>
      </c>
      <c r="E25" s="128" t="s">
        <v>307</v>
      </c>
      <c r="F25" s="326">
        <f>'S.E SAMULA SF6'!B86</f>
        <v>0</v>
      </c>
      <c r="G25" s="326">
        <f>'S.E SAMULA SF6'!D86</f>
        <v>0</v>
      </c>
      <c r="H25" s="326">
        <f>'S.E SAMULA SF6'!E86</f>
        <v>0</v>
      </c>
      <c r="I25" s="326">
        <f>'S.E SAMULA SF6'!F86</f>
        <v>0</v>
      </c>
      <c r="J25" s="326">
        <f>'S.E SAMULA SF6'!G86</f>
        <v>2154.6233309999998</v>
      </c>
      <c r="K25" s="326">
        <f>'S.E SAMULA SF6'!H86</f>
        <v>0</v>
      </c>
      <c r="L25" s="326">
        <f>'S.E SAMULA SF6'!I86</f>
        <v>0</v>
      </c>
      <c r="M25" s="326">
        <f>'S.E SAMULA SF6'!J86</f>
        <v>0</v>
      </c>
      <c r="N25" s="326">
        <f>'S.E SAMULA SF6'!K86</f>
        <v>0</v>
      </c>
      <c r="O25" s="326">
        <f>'S.E SAMULA SF6'!L86</f>
        <v>0</v>
      </c>
      <c r="P25" s="326">
        <f>'S.E SAMULA SF6'!M86</f>
        <v>0</v>
      </c>
      <c r="Q25" s="160">
        <f>'S.E SAMULA SF6'!N86</f>
        <v>0</v>
      </c>
      <c r="R25" s="251">
        <f t="shared" si="0"/>
        <v>2154.6233309999998</v>
      </c>
    </row>
    <row r="26" spans="2:18" x14ac:dyDescent="0.25">
      <c r="B26" s="149">
        <f t="shared" si="1"/>
        <v>24</v>
      </c>
      <c r="C26" s="118" t="s">
        <v>198</v>
      </c>
      <c r="D26" s="118">
        <v>13.8</v>
      </c>
      <c r="E26" s="128" t="s">
        <v>378</v>
      </c>
      <c r="F26" s="326">
        <f>'S.E SAMULA SF6'!B93</f>
        <v>0</v>
      </c>
      <c r="G26" s="326">
        <f>'S.E SAMULA SF6'!D93</f>
        <v>0</v>
      </c>
      <c r="H26" s="326">
        <f>'S.E SAMULA SF6'!E93</f>
        <v>0</v>
      </c>
      <c r="I26" s="326">
        <f>'S.E SAMULA SF6'!F93</f>
        <v>0</v>
      </c>
      <c r="J26" s="326">
        <f>'S.E SAMULA SF6'!G93</f>
        <v>2409.8816320000001</v>
      </c>
      <c r="K26" s="326">
        <f>'S.E SAMULA SF6'!H93</f>
        <v>0</v>
      </c>
      <c r="L26" s="326">
        <f>'S.E SAMULA SF6'!I93</f>
        <v>0</v>
      </c>
      <c r="M26" s="326">
        <f>'S.E SAMULA SF6'!J93</f>
        <v>0</v>
      </c>
      <c r="N26" s="326">
        <f>'S.E SAMULA SF6'!K93</f>
        <v>0</v>
      </c>
      <c r="O26" s="326">
        <f>'S.E SAMULA SF6'!L93</f>
        <v>0</v>
      </c>
      <c r="P26" s="326">
        <f>'S.E SAMULA SF6'!M93</f>
        <v>0</v>
      </c>
      <c r="Q26" s="160">
        <f>'S.E SAMULA SF6'!N93</f>
        <v>0</v>
      </c>
      <c r="R26" s="251">
        <f t="shared" si="0"/>
        <v>2409.8816320000001</v>
      </c>
    </row>
    <row r="27" spans="2:18" x14ac:dyDescent="0.25">
      <c r="B27" s="149">
        <f t="shared" si="1"/>
        <v>25</v>
      </c>
      <c r="C27" s="118" t="s">
        <v>198</v>
      </c>
      <c r="D27" s="118">
        <v>34.5</v>
      </c>
      <c r="E27" s="128" t="s">
        <v>308</v>
      </c>
      <c r="F27" s="326">
        <f>'S.E SAMULA SF6'!B117</f>
        <v>0</v>
      </c>
      <c r="G27" s="326">
        <f>'S.E SAMULA SF6'!D117</f>
        <v>0</v>
      </c>
      <c r="H27" s="326">
        <f>'S.E SAMULA SF6'!E117</f>
        <v>0</v>
      </c>
      <c r="I27" s="326">
        <f>'S.E SAMULA SF6'!F117</f>
        <v>0</v>
      </c>
      <c r="J27" s="326">
        <f>'S.E SAMULA SF6'!G117</f>
        <v>3260.216715</v>
      </c>
      <c r="K27" s="326">
        <f>'S.E SAMULA SF6'!H117</f>
        <v>0</v>
      </c>
      <c r="L27" s="326">
        <f>'S.E SAMULA SF6'!I117</f>
        <v>0</v>
      </c>
      <c r="M27" s="326">
        <f>'S.E SAMULA SF6'!J117</f>
        <v>0</v>
      </c>
      <c r="N27" s="326">
        <f>'S.E SAMULA SF6'!K117</f>
        <v>0</v>
      </c>
      <c r="O27" s="326">
        <f>'S.E SAMULA SF6'!L117</f>
        <v>0</v>
      </c>
      <c r="P27" s="326">
        <f>'S.E SAMULA SF6'!M117</f>
        <v>0</v>
      </c>
      <c r="Q27" s="160">
        <f>'S.E SAMULA SF6'!N117</f>
        <v>0</v>
      </c>
      <c r="R27" s="251">
        <f t="shared" si="0"/>
        <v>3260.216715</v>
      </c>
    </row>
    <row r="28" spans="2:18" x14ac:dyDescent="0.25">
      <c r="B28" s="149">
        <f t="shared" si="1"/>
        <v>26</v>
      </c>
      <c r="C28" s="118" t="s">
        <v>198</v>
      </c>
      <c r="D28" s="118">
        <v>34.5</v>
      </c>
      <c r="E28" s="128" t="s">
        <v>309</v>
      </c>
      <c r="F28" s="326" t="e">
        <f>'S.E SAMULA SF6'!B124</f>
        <v>#N/A</v>
      </c>
      <c r="G28" s="326" t="e">
        <f>'S.E SAMULA SF6'!D124</f>
        <v>#N/A</v>
      </c>
      <c r="H28" s="326" t="e">
        <f>'S.E SAMULA SF6'!E124</f>
        <v>#N/A</v>
      </c>
      <c r="I28" s="326" t="e">
        <f>'S.E SAMULA SF6'!F124</f>
        <v>#N/A</v>
      </c>
      <c r="J28" s="326" t="e">
        <f>'S.E SAMULA SF6'!G124</f>
        <v>#N/A</v>
      </c>
      <c r="K28" s="326" t="e">
        <f>'S.E SAMULA SF6'!H124</f>
        <v>#N/A</v>
      </c>
      <c r="L28" s="326" t="e">
        <f>'S.E SAMULA SF6'!I124</f>
        <v>#N/A</v>
      </c>
      <c r="M28" s="326" t="e">
        <f>'S.E SAMULA SF6'!J124</f>
        <v>#N/A</v>
      </c>
      <c r="N28" s="326" t="e">
        <f>'S.E SAMULA SF6'!K124</f>
        <v>#N/A</v>
      </c>
      <c r="O28" s="326" t="e">
        <f>'S.E SAMULA SF6'!L124</f>
        <v>#N/A</v>
      </c>
      <c r="P28" s="326" t="e">
        <f>'S.E SAMULA SF6'!M124</f>
        <v>#N/A</v>
      </c>
      <c r="Q28" s="160" t="e">
        <f>'S.E SAMULA SF6'!N124</f>
        <v>#N/A</v>
      </c>
      <c r="R28" s="251" t="e">
        <f t="shared" si="0"/>
        <v>#N/A</v>
      </c>
    </row>
    <row r="29" spans="2:18" x14ac:dyDescent="0.25">
      <c r="B29" s="149">
        <f t="shared" si="1"/>
        <v>27</v>
      </c>
      <c r="C29" s="118" t="s">
        <v>198</v>
      </c>
      <c r="D29" s="118">
        <v>34.5</v>
      </c>
      <c r="E29" s="128" t="s">
        <v>310</v>
      </c>
      <c r="F29" s="326" t="e">
        <f>'S.E SAMULA SF6'!B131</f>
        <v>#N/A</v>
      </c>
      <c r="G29" s="326" t="e">
        <f>'S.E SAMULA SF6'!D131</f>
        <v>#N/A</v>
      </c>
      <c r="H29" s="326" t="e">
        <f>'S.E SAMULA SF6'!E131</f>
        <v>#N/A</v>
      </c>
      <c r="I29" s="326" t="e">
        <f>'S.E SAMULA SF6'!F131</f>
        <v>#N/A</v>
      </c>
      <c r="J29" s="326" t="e">
        <f>'S.E SAMULA SF6'!G131</f>
        <v>#N/A</v>
      </c>
      <c r="K29" s="326" t="e">
        <f>'S.E SAMULA SF6'!H131</f>
        <v>#N/A</v>
      </c>
      <c r="L29" s="326" t="e">
        <f>'S.E SAMULA SF6'!I131</f>
        <v>#N/A</v>
      </c>
      <c r="M29" s="326" t="e">
        <f>'S.E SAMULA SF6'!J131</f>
        <v>#N/A</v>
      </c>
      <c r="N29" s="326" t="e">
        <f>'S.E SAMULA SF6'!K131</f>
        <v>#N/A</v>
      </c>
      <c r="O29" s="326" t="e">
        <f>'S.E SAMULA SF6'!L131</f>
        <v>#N/A</v>
      </c>
      <c r="P29" s="326" t="e">
        <f>'S.E SAMULA SF6'!M131</f>
        <v>#N/A</v>
      </c>
      <c r="Q29" s="160" t="e">
        <f>'S.E SAMULA SF6'!N131</f>
        <v>#N/A</v>
      </c>
      <c r="R29" s="251" t="e">
        <f t="shared" si="0"/>
        <v>#N/A</v>
      </c>
    </row>
    <row r="30" spans="2:18" x14ac:dyDescent="0.25">
      <c r="B30" s="149">
        <f t="shared" si="1"/>
        <v>28</v>
      </c>
      <c r="C30" s="118" t="s">
        <v>198</v>
      </c>
      <c r="D30" s="118">
        <v>34.5</v>
      </c>
      <c r="E30" s="128" t="s">
        <v>310</v>
      </c>
      <c r="F30" s="326">
        <f>'S.E SAMULA SF6'!B138</f>
        <v>0</v>
      </c>
      <c r="G30" s="326">
        <f>'S.E SAMULA SF6'!D138</f>
        <v>0</v>
      </c>
      <c r="H30" s="326">
        <f>'S.E SAMULA SF6'!E138</f>
        <v>0</v>
      </c>
      <c r="I30" s="326">
        <f>'S.E SAMULA SF6'!F138</f>
        <v>0</v>
      </c>
      <c r="J30" s="326">
        <f>'S.E SAMULA SF6'!G138</f>
        <v>1450.493367</v>
      </c>
      <c r="K30" s="326">
        <f>'S.E SAMULA SF6'!H138</f>
        <v>0</v>
      </c>
      <c r="L30" s="326">
        <f>'S.E SAMULA SF6'!I138</f>
        <v>0</v>
      </c>
      <c r="M30" s="326">
        <f>'S.E SAMULA SF6'!J138</f>
        <v>0</v>
      </c>
      <c r="N30" s="326">
        <f>'S.E SAMULA SF6'!K138</f>
        <v>0</v>
      </c>
      <c r="O30" s="326">
        <f>'S.E SAMULA SF6'!L138</f>
        <v>0</v>
      </c>
      <c r="P30" s="326">
        <f>'S.E SAMULA SF6'!M138</f>
        <v>0</v>
      </c>
      <c r="Q30" s="160">
        <f>'S.E SAMULA SF6'!N138</f>
        <v>0</v>
      </c>
      <c r="R30" s="251">
        <f t="shared" si="0"/>
        <v>1450.493367</v>
      </c>
    </row>
    <row r="31" spans="2:18" x14ac:dyDescent="0.25">
      <c r="B31" s="149">
        <f t="shared" si="1"/>
        <v>29</v>
      </c>
      <c r="C31" s="118" t="s">
        <v>198</v>
      </c>
      <c r="D31" s="118">
        <v>13.8</v>
      </c>
      <c r="E31" s="128" t="s">
        <v>109</v>
      </c>
      <c r="F31" s="228">
        <f>'SE. AHKIMPECH'!C13</f>
        <v>0</v>
      </c>
      <c r="G31" s="228">
        <f>'SE. AHKIMPECH'!D13</f>
        <v>0</v>
      </c>
      <c r="H31" s="228">
        <f>'SE. AHKIMPECH'!E13</f>
        <v>0</v>
      </c>
      <c r="I31" s="228">
        <f>'SE. AHKIMPECH'!F13</f>
        <v>0</v>
      </c>
      <c r="J31" s="228">
        <f>'SE. AHKIMPECH'!G13</f>
        <v>4321.7417800000003</v>
      </c>
      <c r="K31" s="228">
        <f>'SE. AHKIMPECH'!H13</f>
        <v>0</v>
      </c>
      <c r="L31" s="228">
        <f>'SE. AHKIMPECH'!I13</f>
        <v>0</v>
      </c>
      <c r="M31" s="228">
        <f>'SE. AHKIMPECH'!J13</f>
        <v>0</v>
      </c>
      <c r="N31" s="228">
        <f>'SE. AHKIMPECH'!K13</f>
        <v>0</v>
      </c>
      <c r="O31" s="228">
        <f>'SE. AHKIMPECH'!L13</f>
        <v>0</v>
      </c>
      <c r="P31" s="228">
        <f>'SE. AHKIMPECH'!M13</f>
        <v>0</v>
      </c>
      <c r="Q31" s="145">
        <f>'SE. AHKIMPECH'!N13</f>
        <v>0</v>
      </c>
      <c r="R31" s="251">
        <f t="shared" si="0"/>
        <v>4321.7417800000003</v>
      </c>
    </row>
    <row r="32" spans="2:18" x14ac:dyDescent="0.25">
      <c r="B32" s="149">
        <f t="shared" si="1"/>
        <v>30</v>
      </c>
      <c r="C32" s="118" t="s">
        <v>198</v>
      </c>
      <c r="D32" s="118">
        <v>13.8</v>
      </c>
      <c r="E32" s="128" t="s">
        <v>110</v>
      </c>
      <c r="F32" s="228">
        <f>'SE. AHKIMPECH'!C20</f>
        <v>0</v>
      </c>
      <c r="G32" s="228">
        <f>'SE. AHKIMPECH'!D20</f>
        <v>0</v>
      </c>
      <c r="H32" s="228">
        <f>'SE. AHKIMPECH'!E20</f>
        <v>0</v>
      </c>
      <c r="I32" s="228">
        <f>'SE. AHKIMPECH'!F20</f>
        <v>0</v>
      </c>
      <c r="J32" s="228">
        <f>'SE. AHKIMPECH'!G20</f>
        <v>3601.3290229999998</v>
      </c>
      <c r="K32" s="228">
        <f>'SE. AHKIMPECH'!H20</f>
        <v>0</v>
      </c>
      <c r="L32" s="228">
        <f>'SE. AHKIMPECH'!I20</f>
        <v>0</v>
      </c>
      <c r="M32" s="228">
        <f>'SE. AHKIMPECH'!J20</f>
        <v>0</v>
      </c>
      <c r="N32" s="228">
        <f>'SE. AHKIMPECH'!K20</f>
        <v>0</v>
      </c>
      <c r="O32" s="228">
        <f>'SE. AHKIMPECH'!L20</f>
        <v>0</v>
      </c>
      <c r="P32" s="228">
        <f>'SE. AHKIMPECH'!M20</f>
        <v>0</v>
      </c>
      <c r="Q32" s="145">
        <f>'SE. AHKIMPECH'!N20</f>
        <v>0</v>
      </c>
      <c r="R32" s="251">
        <f t="shared" si="0"/>
        <v>3601.3290229999998</v>
      </c>
    </row>
    <row r="33" spans="2:18" x14ac:dyDescent="0.25">
      <c r="B33" s="149">
        <f t="shared" si="1"/>
        <v>31</v>
      </c>
      <c r="C33" s="118" t="s">
        <v>198</v>
      </c>
      <c r="D33" s="118">
        <v>13.8</v>
      </c>
      <c r="E33" s="128" t="s">
        <v>111</v>
      </c>
      <c r="F33" s="228">
        <f>'SE. AHKIMPECH'!C27</f>
        <v>0</v>
      </c>
      <c r="G33" s="228">
        <f>'SE. AHKIMPECH'!D27</f>
        <v>0</v>
      </c>
      <c r="H33" s="228">
        <f>'SE. AHKIMPECH'!E27</f>
        <v>0</v>
      </c>
      <c r="I33" s="228">
        <f>'SE. AHKIMPECH'!F27</f>
        <v>0</v>
      </c>
      <c r="J33" s="228">
        <f>'SE. AHKIMPECH'!G27</f>
        <v>3775.0055419999999</v>
      </c>
      <c r="K33" s="228">
        <f>'SE. AHKIMPECH'!H27</f>
        <v>0</v>
      </c>
      <c r="L33" s="228">
        <f>'SE. AHKIMPECH'!I27</f>
        <v>0</v>
      </c>
      <c r="M33" s="228">
        <f>'SE. AHKIMPECH'!J27</f>
        <v>0</v>
      </c>
      <c r="N33" s="228">
        <f>'SE. AHKIMPECH'!K27</f>
        <v>0</v>
      </c>
      <c r="O33" s="228">
        <f>'SE. AHKIMPECH'!L27</f>
        <v>0</v>
      </c>
      <c r="P33" s="228">
        <f>'SE. AHKIMPECH'!M27</f>
        <v>0</v>
      </c>
      <c r="Q33" s="145">
        <f>'SE. AHKIMPECH'!N27</f>
        <v>0</v>
      </c>
      <c r="R33" s="251">
        <f t="shared" si="0"/>
        <v>3775.0055419999999</v>
      </c>
    </row>
    <row r="34" spans="2:18" x14ac:dyDescent="0.25">
      <c r="B34" s="149">
        <f t="shared" si="1"/>
        <v>32</v>
      </c>
      <c r="C34" s="118" t="s">
        <v>198</v>
      </c>
      <c r="D34" s="118">
        <v>13.8</v>
      </c>
      <c r="E34" s="128" t="s">
        <v>112</v>
      </c>
      <c r="F34" s="228">
        <f>'SE. AHKIMPECH'!C34</f>
        <v>0</v>
      </c>
      <c r="G34" s="228">
        <f>'SE. AHKIMPECH'!D34</f>
        <v>0</v>
      </c>
      <c r="H34" s="228">
        <f>'SE. AHKIMPECH'!E34</f>
        <v>0</v>
      </c>
      <c r="I34" s="228">
        <f>'SE. AHKIMPECH'!F34</f>
        <v>0</v>
      </c>
      <c r="J34" s="228">
        <f>'SE. AHKIMPECH'!G34</f>
        <v>4724.5716140000004</v>
      </c>
      <c r="K34" s="228">
        <f>'SE. AHKIMPECH'!H34</f>
        <v>0</v>
      </c>
      <c r="L34" s="228">
        <f>'SE. AHKIMPECH'!I34</f>
        <v>0</v>
      </c>
      <c r="M34" s="228">
        <f>'SE. AHKIMPECH'!J34</f>
        <v>0</v>
      </c>
      <c r="N34" s="228">
        <f>'SE. AHKIMPECH'!K34</f>
        <v>0</v>
      </c>
      <c r="O34" s="228">
        <f>'SE. AHKIMPECH'!L34</f>
        <v>0</v>
      </c>
      <c r="P34" s="228">
        <f>'SE. AHKIMPECH'!M34</f>
        <v>0</v>
      </c>
      <c r="Q34" s="145">
        <f>'SE. AHKIMPECH'!N34</f>
        <v>0</v>
      </c>
      <c r="R34" s="251">
        <f t="shared" si="0"/>
        <v>4724.5716140000004</v>
      </c>
    </row>
    <row r="35" spans="2:18" x14ac:dyDescent="0.25">
      <c r="B35" s="149">
        <f t="shared" si="1"/>
        <v>33</v>
      </c>
      <c r="C35" s="118" t="s">
        <v>198</v>
      </c>
      <c r="D35" s="118">
        <v>13.8</v>
      </c>
      <c r="E35" s="128" t="s">
        <v>155</v>
      </c>
      <c r="F35" s="228">
        <f>'SE. AHKIMPECH'!C41</f>
        <v>0</v>
      </c>
      <c r="G35" s="228">
        <f>'SE. AHKIMPECH'!D41</f>
        <v>0</v>
      </c>
      <c r="H35" s="228">
        <f>'SE. AHKIMPECH'!E41</f>
        <v>0</v>
      </c>
      <c r="I35" s="228">
        <f>'SE. AHKIMPECH'!F41</f>
        <v>0</v>
      </c>
      <c r="J35" s="228">
        <f>'SE. AHKIMPECH'!G41</f>
        <v>1723.0149939999999</v>
      </c>
      <c r="K35" s="228">
        <f>'SE. AHKIMPECH'!H41</f>
        <v>0</v>
      </c>
      <c r="L35" s="228">
        <f>'SE. AHKIMPECH'!I41</f>
        <v>0</v>
      </c>
      <c r="M35" s="228">
        <f>'SE. AHKIMPECH'!J41</f>
        <v>0</v>
      </c>
      <c r="N35" s="228">
        <f>'SE. AHKIMPECH'!K41</f>
        <v>0</v>
      </c>
      <c r="O35" s="228">
        <f>'SE. AHKIMPECH'!L41</f>
        <v>0</v>
      </c>
      <c r="P35" s="228">
        <f>'SE. AHKIMPECH'!M41</f>
        <v>0</v>
      </c>
      <c r="Q35" s="145">
        <f>'SE. AHKIMPECH'!N41</f>
        <v>0</v>
      </c>
      <c r="R35" s="251">
        <f t="shared" si="0"/>
        <v>1723.0149939999999</v>
      </c>
    </row>
    <row r="36" spans="2:18" x14ac:dyDescent="0.25">
      <c r="B36" s="149">
        <f t="shared" si="1"/>
        <v>34</v>
      </c>
      <c r="C36" s="118" t="s">
        <v>197</v>
      </c>
      <c r="D36" s="118">
        <v>13.8</v>
      </c>
      <c r="E36" s="127" t="s">
        <v>82</v>
      </c>
      <c r="F36" s="228">
        <f>'S.E CHAMPOTON'!B51</f>
        <v>0</v>
      </c>
      <c r="G36" s="228">
        <f>'S.E CHAMPOTON'!D51</f>
        <v>0</v>
      </c>
      <c r="H36" s="228">
        <f>'S.E CHAMPOTON'!E51</f>
        <v>0</v>
      </c>
      <c r="I36" s="228">
        <f>'S.E CHAMPOTON'!F51</f>
        <v>0</v>
      </c>
      <c r="J36" s="228">
        <f>'S.E CHAMPOTON'!G51</f>
        <v>4875.1166990000002</v>
      </c>
      <c r="K36" s="228">
        <f>'S.E CHAMPOTON'!H51</f>
        <v>0</v>
      </c>
      <c r="L36" s="228">
        <f>'S.E CHAMPOTON'!I51</f>
        <v>0</v>
      </c>
      <c r="M36" s="228">
        <f>'S.E CHAMPOTON'!J51</f>
        <v>0</v>
      </c>
      <c r="N36" s="228">
        <f>'S.E CHAMPOTON'!K51</f>
        <v>0</v>
      </c>
      <c r="O36" s="228">
        <f>'S.E CHAMPOTON'!L51</f>
        <v>0</v>
      </c>
      <c r="P36" s="228">
        <f>'S.E CHAMPOTON'!M51</f>
        <v>0</v>
      </c>
      <c r="Q36" s="61">
        <f>'S.E CHAMPOTON'!N51</f>
        <v>0</v>
      </c>
      <c r="R36" s="251">
        <f t="shared" si="0"/>
        <v>4875.1166990000002</v>
      </c>
    </row>
    <row r="37" spans="2:18" x14ac:dyDescent="0.25">
      <c r="B37" s="149">
        <f t="shared" si="1"/>
        <v>35</v>
      </c>
      <c r="C37" s="118" t="s">
        <v>197</v>
      </c>
      <c r="D37" s="118">
        <v>13.8</v>
      </c>
      <c r="E37" s="127" t="s">
        <v>83</v>
      </c>
      <c r="F37" s="228">
        <f>'S.E CHAMPOTON'!B58</f>
        <v>0</v>
      </c>
      <c r="G37" s="228">
        <f>'S.E CHAMPOTON'!D58</f>
        <v>0</v>
      </c>
      <c r="H37" s="228">
        <f>'S.E CHAMPOTON'!E58</f>
        <v>0</v>
      </c>
      <c r="I37" s="228">
        <f>'S.E CHAMPOTON'!F58</f>
        <v>0</v>
      </c>
      <c r="J37" s="228">
        <f>'S.E CHAMPOTON'!G58</f>
        <v>5009.7784009999996</v>
      </c>
      <c r="K37" s="228">
        <f>'S.E CHAMPOTON'!H58</f>
        <v>0</v>
      </c>
      <c r="L37" s="228">
        <f>'S.E CHAMPOTON'!I58</f>
        <v>0</v>
      </c>
      <c r="M37" s="228">
        <f>'S.E CHAMPOTON'!J58</f>
        <v>0</v>
      </c>
      <c r="N37" s="228">
        <f>'S.E CHAMPOTON'!K58</f>
        <v>0</v>
      </c>
      <c r="O37" s="228">
        <f>'S.E CHAMPOTON'!L58</f>
        <v>0</v>
      </c>
      <c r="P37" s="228">
        <f>'S.E CHAMPOTON'!M58</f>
        <v>0</v>
      </c>
      <c r="Q37" s="61">
        <f>'S.E CHAMPOTON'!N58</f>
        <v>0</v>
      </c>
      <c r="R37" s="251">
        <f t="shared" si="0"/>
        <v>5009.7784009999996</v>
      </c>
    </row>
    <row r="38" spans="2:18" x14ac:dyDescent="0.25">
      <c r="B38" s="149">
        <f t="shared" si="1"/>
        <v>36</v>
      </c>
      <c r="C38" s="118" t="s">
        <v>197</v>
      </c>
      <c r="D38" s="118">
        <v>13.8</v>
      </c>
      <c r="E38" s="128" t="s">
        <v>84</v>
      </c>
      <c r="F38" s="228">
        <f>'S.E CHAMPOTON'!B65</f>
        <v>0</v>
      </c>
      <c r="G38" s="228">
        <f>'S.E CHAMPOTON'!D65</f>
        <v>0</v>
      </c>
      <c r="H38" s="228">
        <f>'S.E CHAMPOTON'!E65</f>
        <v>0</v>
      </c>
      <c r="I38" s="228">
        <f>'S.E CHAMPOTON'!F65</f>
        <v>0</v>
      </c>
      <c r="J38" s="228">
        <f>'S.E CHAMPOTON'!G65</f>
        <v>2118.829956</v>
      </c>
      <c r="K38" s="228">
        <f>'S.E CHAMPOTON'!H65</f>
        <v>0</v>
      </c>
      <c r="L38" s="228">
        <f>'S.E CHAMPOTON'!I65</f>
        <v>0</v>
      </c>
      <c r="M38" s="228">
        <f>'S.E CHAMPOTON'!J65</f>
        <v>0</v>
      </c>
      <c r="N38" s="228">
        <f>'S.E CHAMPOTON'!K65</f>
        <v>0</v>
      </c>
      <c r="O38" s="228">
        <f>'S.E CHAMPOTON'!L65</f>
        <v>0</v>
      </c>
      <c r="P38" s="228">
        <f>'S.E CHAMPOTON'!M65</f>
        <v>0</v>
      </c>
      <c r="Q38" s="61">
        <f>'S.E CHAMPOTON'!N65</f>
        <v>0</v>
      </c>
      <c r="R38" s="251">
        <f t="shared" si="0"/>
        <v>2118.829956</v>
      </c>
    </row>
    <row r="39" spans="2:18" x14ac:dyDescent="0.25">
      <c r="B39" s="149">
        <f t="shared" si="1"/>
        <v>37</v>
      </c>
      <c r="C39" s="118" t="s">
        <v>197</v>
      </c>
      <c r="D39" s="118">
        <v>34.5</v>
      </c>
      <c r="E39" s="127" t="s">
        <v>79</v>
      </c>
      <c r="F39" s="228">
        <f>'S.E CHAMPOTON'!B13</f>
        <v>0</v>
      </c>
      <c r="G39" s="228">
        <f>'S.E CHAMPOTON'!D13</f>
        <v>0</v>
      </c>
      <c r="H39" s="228">
        <f>'S.E CHAMPOTON'!E13</f>
        <v>0</v>
      </c>
      <c r="I39" s="228">
        <f>'S.E CHAMPOTON'!F13</f>
        <v>0</v>
      </c>
      <c r="J39" s="228">
        <f>'S.E CHAMPOTON'!G13</f>
        <v>7022.330078</v>
      </c>
      <c r="K39" s="228">
        <f>'S.E CHAMPOTON'!H13</f>
        <v>0</v>
      </c>
      <c r="L39" s="228">
        <f>'S.E CHAMPOTON'!I13</f>
        <v>0</v>
      </c>
      <c r="M39" s="228">
        <f>'S.E CHAMPOTON'!J13</f>
        <v>0</v>
      </c>
      <c r="N39" s="228">
        <f>'S.E CHAMPOTON'!K13</f>
        <v>0</v>
      </c>
      <c r="O39" s="228">
        <f>'S.E CHAMPOTON'!L13</f>
        <v>0</v>
      </c>
      <c r="P39" s="228">
        <f>'S.E CHAMPOTON'!M13</f>
        <v>0</v>
      </c>
      <c r="Q39" s="61">
        <f>'S.E CHAMPOTON'!N13</f>
        <v>0</v>
      </c>
      <c r="R39" s="251">
        <f t="shared" si="0"/>
        <v>7022.330078</v>
      </c>
    </row>
    <row r="40" spans="2:18" x14ac:dyDescent="0.25">
      <c r="B40" s="149">
        <f t="shared" si="1"/>
        <v>38</v>
      </c>
      <c r="C40" s="118" t="s">
        <v>197</v>
      </c>
      <c r="D40" s="118">
        <v>34.5</v>
      </c>
      <c r="E40" s="127" t="s">
        <v>80</v>
      </c>
      <c r="F40" s="228" t="e">
        <f>'S.E CHAMPOTON'!B20</f>
        <v>#N/A</v>
      </c>
      <c r="G40" s="228" t="e">
        <f>'S.E CHAMPOTON'!D20</f>
        <v>#N/A</v>
      </c>
      <c r="H40" s="228" t="e">
        <f>'S.E CHAMPOTON'!E20</f>
        <v>#N/A</v>
      </c>
      <c r="I40" s="228" t="e">
        <f>'S.E CHAMPOTON'!F20</f>
        <v>#N/A</v>
      </c>
      <c r="J40" s="228" t="e">
        <f>'S.E CHAMPOTON'!G20</f>
        <v>#N/A</v>
      </c>
      <c r="K40" s="228" t="e">
        <f>'S.E CHAMPOTON'!H20</f>
        <v>#N/A</v>
      </c>
      <c r="L40" s="228" t="e">
        <f>'S.E CHAMPOTON'!I20</f>
        <v>#N/A</v>
      </c>
      <c r="M40" s="228" t="e">
        <f>'S.E CHAMPOTON'!J20</f>
        <v>#N/A</v>
      </c>
      <c r="N40" s="228" t="e">
        <f>'S.E CHAMPOTON'!K20</f>
        <v>#N/A</v>
      </c>
      <c r="O40" s="228" t="e">
        <f>'S.E CHAMPOTON'!L20</f>
        <v>#N/A</v>
      </c>
      <c r="P40" s="228" t="e">
        <f>'S.E CHAMPOTON'!M20</f>
        <v>#N/A</v>
      </c>
      <c r="Q40" s="61" t="e">
        <f>'S.E CHAMPOTON'!N20</f>
        <v>#N/A</v>
      </c>
      <c r="R40" s="251" t="e">
        <f t="shared" si="0"/>
        <v>#N/A</v>
      </c>
    </row>
    <row r="41" spans="2:18" x14ac:dyDescent="0.25">
      <c r="B41" s="149">
        <f t="shared" si="1"/>
        <v>39</v>
      </c>
      <c r="C41" s="118" t="s">
        <v>197</v>
      </c>
      <c r="D41" s="118">
        <v>34.5</v>
      </c>
      <c r="E41" s="127" t="s">
        <v>81</v>
      </c>
      <c r="F41" s="228">
        <f>'S.E CHAMPOTON'!B27</f>
        <v>0</v>
      </c>
      <c r="G41" s="228">
        <f>'S.E CHAMPOTON'!D27</f>
        <v>0</v>
      </c>
      <c r="H41" s="228">
        <f>'S.E CHAMPOTON'!E27</f>
        <v>0</v>
      </c>
      <c r="I41" s="228">
        <f>'S.E CHAMPOTON'!F27</f>
        <v>0</v>
      </c>
      <c r="J41" s="228">
        <f>'S.E CHAMPOTON'!G27</f>
        <v>2702.3500159999999</v>
      </c>
      <c r="K41" s="228">
        <f>'S.E CHAMPOTON'!H27</f>
        <v>0</v>
      </c>
      <c r="L41" s="228">
        <f>'S.E CHAMPOTON'!I27</f>
        <v>0</v>
      </c>
      <c r="M41" s="228">
        <f>'S.E CHAMPOTON'!J27</f>
        <v>0</v>
      </c>
      <c r="N41" s="228">
        <f>'S.E CHAMPOTON'!K27</f>
        <v>0</v>
      </c>
      <c r="O41" s="228">
        <f>'S.E CHAMPOTON'!L27</f>
        <v>0</v>
      </c>
      <c r="P41" s="228">
        <f>'S.E CHAMPOTON'!M27</f>
        <v>0</v>
      </c>
      <c r="Q41" s="61">
        <f>'S.E CHAMPOTON'!N27</f>
        <v>0</v>
      </c>
      <c r="R41" s="251">
        <f t="shared" si="0"/>
        <v>2702.3500159999999</v>
      </c>
    </row>
    <row r="42" spans="2:18" x14ac:dyDescent="0.25">
      <c r="B42" s="149">
        <f t="shared" si="1"/>
        <v>40</v>
      </c>
      <c r="C42" s="118" t="s">
        <v>197</v>
      </c>
      <c r="D42" s="118">
        <v>13.8</v>
      </c>
      <c r="E42" s="127" t="s">
        <v>43</v>
      </c>
      <c r="F42" s="228" t="e">
        <f>'S.E SEYBAPLAYA'!B13</f>
        <v>#N/A</v>
      </c>
      <c r="G42" s="228" t="e">
        <f>'S.E SEYBAPLAYA'!D13</f>
        <v>#N/A</v>
      </c>
      <c r="H42" s="228" t="e">
        <f>'S.E SEYBAPLAYA'!E13</f>
        <v>#N/A</v>
      </c>
      <c r="I42" s="228" t="e">
        <f>'S.E SEYBAPLAYA'!F13</f>
        <v>#N/A</v>
      </c>
      <c r="J42" s="228" t="e">
        <f>'S.E SEYBAPLAYA'!G13</f>
        <v>#N/A</v>
      </c>
      <c r="K42" s="228" t="e">
        <f>'S.E SEYBAPLAYA'!H13</f>
        <v>#N/A</v>
      </c>
      <c r="L42" s="228" t="e">
        <f>'S.E SEYBAPLAYA'!I13</f>
        <v>#N/A</v>
      </c>
      <c r="M42" s="228" t="e">
        <f>'S.E SEYBAPLAYA'!J13</f>
        <v>#N/A</v>
      </c>
      <c r="N42" s="228" t="e">
        <f>'S.E SEYBAPLAYA'!K13</f>
        <v>#N/A</v>
      </c>
      <c r="O42" s="228" t="e">
        <f>'S.E SEYBAPLAYA'!L13</f>
        <v>#N/A</v>
      </c>
      <c r="P42" s="228" t="e">
        <f>'S.E SEYBAPLAYA'!M13</f>
        <v>#N/A</v>
      </c>
      <c r="Q42" s="145" t="e">
        <f>'S.E SEYBAPLAYA'!N13</f>
        <v>#N/A</v>
      </c>
      <c r="R42" s="251" t="e">
        <f t="shared" si="0"/>
        <v>#N/A</v>
      </c>
    </row>
    <row r="43" spans="2:18" x14ac:dyDescent="0.25">
      <c r="B43" s="149">
        <f t="shared" si="1"/>
        <v>41</v>
      </c>
      <c r="C43" s="118" t="s">
        <v>197</v>
      </c>
      <c r="D43" s="118">
        <v>13.8</v>
      </c>
      <c r="E43" s="127" t="s">
        <v>44</v>
      </c>
      <c r="F43" s="228" t="e">
        <f>'S.E SEYBAPLAYA'!B20</f>
        <v>#N/A</v>
      </c>
      <c r="G43" s="228" t="e">
        <f>'S.E SEYBAPLAYA'!D20</f>
        <v>#N/A</v>
      </c>
      <c r="H43" s="228" t="e">
        <f>'S.E SEYBAPLAYA'!E20</f>
        <v>#N/A</v>
      </c>
      <c r="I43" s="228" t="e">
        <f>'S.E SEYBAPLAYA'!F20</f>
        <v>#N/A</v>
      </c>
      <c r="J43" s="228" t="e">
        <f>'S.E SEYBAPLAYA'!G20</f>
        <v>#N/A</v>
      </c>
      <c r="K43" s="228" t="e">
        <f>'S.E SEYBAPLAYA'!H20</f>
        <v>#N/A</v>
      </c>
      <c r="L43" s="228" t="e">
        <f>'S.E SEYBAPLAYA'!I20</f>
        <v>#N/A</v>
      </c>
      <c r="M43" s="228" t="e">
        <f>'S.E SEYBAPLAYA'!J20</f>
        <v>#N/A</v>
      </c>
      <c r="N43" s="228" t="e">
        <f>'S.E SEYBAPLAYA'!K20</f>
        <v>#N/A</v>
      </c>
      <c r="O43" s="228" t="e">
        <f>'S.E SEYBAPLAYA'!L20</f>
        <v>#N/A</v>
      </c>
      <c r="P43" s="228" t="e">
        <f>'S.E SEYBAPLAYA'!M20</f>
        <v>#N/A</v>
      </c>
      <c r="Q43" s="145" t="e">
        <f>'S.E SEYBAPLAYA'!N20</f>
        <v>#N/A</v>
      </c>
      <c r="R43" s="251" t="e">
        <f t="shared" si="0"/>
        <v>#N/A</v>
      </c>
    </row>
    <row r="44" spans="2:18" x14ac:dyDescent="0.25">
      <c r="B44" s="149">
        <f t="shared" si="1"/>
        <v>42</v>
      </c>
      <c r="C44" s="118" t="s">
        <v>197</v>
      </c>
      <c r="D44" s="118">
        <v>13.8</v>
      </c>
      <c r="E44" s="128" t="s">
        <v>326</v>
      </c>
      <c r="F44" s="228" t="e">
        <f>'SE. SIHOCHAC'!B27</f>
        <v>#N/A</v>
      </c>
      <c r="G44" s="228" t="e">
        <f>'SE. SIHOCHAC'!D27</f>
        <v>#N/A</v>
      </c>
      <c r="H44" s="228" t="e">
        <f>'SE. SIHOCHAC'!E27</f>
        <v>#N/A</v>
      </c>
      <c r="I44" s="228" t="e">
        <f>'SE. SIHOCHAC'!F27</f>
        <v>#N/A</v>
      </c>
      <c r="J44" s="228" t="e">
        <f>'SE. SIHOCHAC'!G27</f>
        <v>#N/A</v>
      </c>
      <c r="K44" s="228" t="e">
        <f>'SE. SIHOCHAC'!H27</f>
        <v>#N/A</v>
      </c>
      <c r="L44" s="228" t="e">
        <f>'SE. SIHOCHAC'!I27</f>
        <v>#N/A</v>
      </c>
      <c r="M44" s="228" t="e">
        <f>'SE. SIHOCHAC'!J27</f>
        <v>#N/A</v>
      </c>
      <c r="N44" s="228" t="e">
        <f>'SE. SIHOCHAC'!K27</f>
        <v>#N/A</v>
      </c>
      <c r="O44" s="228" t="e">
        <f>'SE. SIHOCHAC'!L27</f>
        <v>#N/A</v>
      </c>
      <c r="P44" s="228" t="e">
        <f>'SE. SIHOCHAC'!M27</f>
        <v>#N/A</v>
      </c>
      <c r="Q44" s="61" t="e">
        <f>'SE. SIHOCHAC'!N27</f>
        <v>#N/A</v>
      </c>
      <c r="R44" s="251" t="e">
        <f t="shared" si="0"/>
        <v>#N/A</v>
      </c>
    </row>
    <row r="45" spans="2:18" x14ac:dyDescent="0.25">
      <c r="B45" s="149">
        <f t="shared" si="1"/>
        <v>43</v>
      </c>
      <c r="C45" s="118" t="s">
        <v>197</v>
      </c>
      <c r="D45" s="118">
        <v>34.5</v>
      </c>
      <c r="E45" s="128" t="s">
        <v>327</v>
      </c>
      <c r="F45" s="228">
        <f>'SE. SIHOCHAC'!B13</f>
        <v>0</v>
      </c>
      <c r="G45" s="228">
        <f>'SE. SIHOCHAC'!D13</f>
        <v>0</v>
      </c>
      <c r="H45" s="228">
        <f>'SE. SIHOCHAC'!E13</f>
        <v>0</v>
      </c>
      <c r="I45" s="228">
        <f>'SE. SIHOCHAC'!F13</f>
        <v>0</v>
      </c>
      <c r="J45" s="228">
        <f>'SE. SIHOCHAC'!G13</f>
        <v>587</v>
      </c>
      <c r="K45" s="228">
        <f>'SE. SIHOCHAC'!H13</f>
        <v>0</v>
      </c>
      <c r="L45" s="228">
        <f>'SE. SIHOCHAC'!I13</f>
        <v>0</v>
      </c>
      <c r="M45" s="228">
        <f>'SE. SIHOCHAC'!J13</f>
        <v>0</v>
      </c>
      <c r="N45" s="228">
        <f>'SE. SIHOCHAC'!K13</f>
        <v>0</v>
      </c>
      <c r="O45" s="228">
        <f>'SE. SIHOCHAC'!L13</f>
        <v>0</v>
      </c>
      <c r="P45" s="228">
        <f>'SE. SIHOCHAC'!M13</f>
        <v>0</v>
      </c>
      <c r="Q45" s="61">
        <f>'SE. SIHOCHAC'!N13</f>
        <v>0</v>
      </c>
      <c r="R45" s="251">
        <f t="shared" si="0"/>
        <v>587</v>
      </c>
    </row>
    <row r="46" spans="2:18" x14ac:dyDescent="0.25">
      <c r="B46" s="149">
        <f t="shared" si="1"/>
        <v>44</v>
      </c>
      <c r="C46" s="118" t="s">
        <v>197</v>
      </c>
      <c r="D46" s="118">
        <v>34.5</v>
      </c>
      <c r="E46" s="128" t="s">
        <v>328</v>
      </c>
      <c r="F46" s="228">
        <f>'SE. SIHOCHAC'!B20</f>
        <v>0</v>
      </c>
      <c r="G46" s="228">
        <f>'SE. SIHOCHAC'!D20</f>
        <v>0</v>
      </c>
      <c r="H46" s="228">
        <f>'SE. SIHOCHAC'!E20</f>
        <v>0</v>
      </c>
      <c r="I46" s="228">
        <f>'SE. SIHOCHAC'!F20</f>
        <v>0</v>
      </c>
      <c r="J46" s="228">
        <f>'SE. SIHOCHAC'!G20</f>
        <v>153</v>
      </c>
      <c r="K46" s="228">
        <f>'SE. SIHOCHAC'!H20</f>
        <v>0</v>
      </c>
      <c r="L46" s="228">
        <f>'SE. SIHOCHAC'!I20</f>
        <v>0</v>
      </c>
      <c r="M46" s="228">
        <f>'SE. SIHOCHAC'!J20</f>
        <v>0</v>
      </c>
      <c r="N46" s="228">
        <f>'SE. SIHOCHAC'!K20</f>
        <v>0</v>
      </c>
      <c r="O46" s="228">
        <f>'SE. SIHOCHAC'!L20</f>
        <v>0</v>
      </c>
      <c r="P46" s="228">
        <f>'SE. SIHOCHAC'!M20</f>
        <v>0</v>
      </c>
      <c r="Q46" s="61">
        <f>'SE. SIHOCHAC'!N20</f>
        <v>0</v>
      </c>
      <c r="R46" s="251">
        <f t="shared" si="0"/>
        <v>153</v>
      </c>
    </row>
    <row r="47" spans="2:18" x14ac:dyDescent="0.25">
      <c r="B47" s="149">
        <f t="shared" si="1"/>
        <v>45</v>
      </c>
      <c r="C47" s="118" t="s">
        <v>199</v>
      </c>
      <c r="D47" s="118">
        <v>13.8</v>
      </c>
      <c r="E47" s="127" t="s">
        <v>75</v>
      </c>
      <c r="F47" s="228">
        <f>'S.E CALKINI'!B13</f>
        <v>0</v>
      </c>
      <c r="G47" s="228">
        <f>'S.E CALKINI'!D13</f>
        <v>0</v>
      </c>
      <c r="H47" s="228">
        <f>'S.E CALKINI'!E13</f>
        <v>0</v>
      </c>
      <c r="I47" s="228">
        <f>'S.E CALKINI'!F13</f>
        <v>0</v>
      </c>
      <c r="J47" s="228">
        <f>'S.E CALKINI'!G13</f>
        <v>3417.2633460000002</v>
      </c>
      <c r="K47" s="228">
        <f>'S.E CALKINI'!H13</f>
        <v>0</v>
      </c>
      <c r="L47" s="228">
        <f>'S.E CALKINI'!I13</f>
        <v>0</v>
      </c>
      <c r="M47" s="228">
        <f>'S.E CALKINI'!J13</f>
        <v>0</v>
      </c>
      <c r="N47" s="228">
        <f>'S.E CALKINI'!K13</f>
        <v>0</v>
      </c>
      <c r="O47" s="228">
        <f>'S.E CALKINI'!L13</f>
        <v>0</v>
      </c>
      <c r="P47" s="228">
        <f>'S.E CALKINI'!M13</f>
        <v>0</v>
      </c>
      <c r="Q47" s="317">
        <f>'S.E CALKINI'!N13</f>
        <v>0</v>
      </c>
      <c r="R47" s="251">
        <f t="shared" si="0"/>
        <v>3417.2633460000002</v>
      </c>
    </row>
    <row r="48" spans="2:18" x14ac:dyDescent="0.25">
      <c r="B48" s="149">
        <f t="shared" si="1"/>
        <v>46</v>
      </c>
      <c r="C48" s="118" t="s">
        <v>199</v>
      </c>
      <c r="D48" s="118">
        <v>13.8</v>
      </c>
      <c r="E48" s="127" t="s">
        <v>77</v>
      </c>
      <c r="F48" s="228">
        <f>'S.E CALKINI'!B20</f>
        <v>0</v>
      </c>
      <c r="G48" s="228">
        <f>'S.E CALKINI'!D20</f>
        <v>0</v>
      </c>
      <c r="H48" s="228">
        <f>'S.E CALKINI'!E20</f>
        <v>0</v>
      </c>
      <c r="I48" s="228">
        <f>'S.E CALKINI'!F20</f>
        <v>0</v>
      </c>
      <c r="J48" s="228">
        <f>'S.E CALKINI'!G20</f>
        <v>3780.5950109999999</v>
      </c>
      <c r="K48" s="228">
        <f>'S.E CALKINI'!H20</f>
        <v>0</v>
      </c>
      <c r="L48" s="228">
        <f>'S.E CALKINI'!I20</f>
        <v>0</v>
      </c>
      <c r="M48" s="228">
        <f>'S.E CALKINI'!J20</f>
        <v>0</v>
      </c>
      <c r="N48" s="228">
        <f>'S.E CALKINI'!K20</f>
        <v>0</v>
      </c>
      <c r="O48" s="228">
        <f>'S.E CALKINI'!L20</f>
        <v>0</v>
      </c>
      <c r="P48" s="228">
        <f>'S.E CALKINI'!M20</f>
        <v>0</v>
      </c>
      <c r="Q48" s="317">
        <f>'S.E CALKINI'!N20</f>
        <v>0</v>
      </c>
      <c r="R48" s="251">
        <f t="shared" si="0"/>
        <v>3780.5950109999999</v>
      </c>
    </row>
    <row r="49" spans="2:18" x14ac:dyDescent="0.25">
      <c r="B49" s="149">
        <f t="shared" si="1"/>
        <v>47</v>
      </c>
      <c r="C49" s="118" t="s">
        <v>199</v>
      </c>
      <c r="D49" s="118">
        <v>13.8</v>
      </c>
      <c r="E49" s="127" t="s">
        <v>78</v>
      </c>
      <c r="F49" s="228">
        <f>'S.E CALKINI'!B27</f>
        <v>0</v>
      </c>
      <c r="G49" s="228">
        <f>'S.E CALKINI'!D27</f>
        <v>0</v>
      </c>
      <c r="H49" s="228">
        <f>'S.E CALKINI'!E27</f>
        <v>0</v>
      </c>
      <c r="I49" s="228">
        <f>'S.E CALKINI'!F27</f>
        <v>0</v>
      </c>
      <c r="J49" s="228">
        <f>'S.E CALKINI'!G27</f>
        <v>3623.5983070000002</v>
      </c>
      <c r="K49" s="228">
        <f>'S.E CALKINI'!H27</f>
        <v>0</v>
      </c>
      <c r="L49" s="228">
        <f>'S.E CALKINI'!I27</f>
        <v>0</v>
      </c>
      <c r="M49" s="228">
        <f>'S.E CALKINI'!J27</f>
        <v>0</v>
      </c>
      <c r="N49" s="228">
        <f>'S.E CALKINI'!K27</f>
        <v>0</v>
      </c>
      <c r="O49" s="228">
        <f>'S.E CALKINI'!L27</f>
        <v>0</v>
      </c>
      <c r="P49" s="228">
        <f>'S.E CALKINI'!M27</f>
        <v>0</v>
      </c>
      <c r="Q49" s="317">
        <f>'S.E CALKINI'!N27</f>
        <v>0</v>
      </c>
      <c r="R49" s="251">
        <f t="shared" si="0"/>
        <v>3623.5983070000002</v>
      </c>
    </row>
    <row r="50" spans="2:18" x14ac:dyDescent="0.25">
      <c r="B50" s="149">
        <f t="shared" si="1"/>
        <v>48</v>
      </c>
      <c r="C50" s="118" t="s">
        <v>199</v>
      </c>
      <c r="D50" s="118">
        <v>13.8</v>
      </c>
      <c r="E50" s="128" t="s">
        <v>268</v>
      </c>
      <c r="F50" s="228">
        <f>'S.E CALKINI'!B34</f>
        <v>0</v>
      </c>
      <c r="G50" s="228">
        <f>'S.E CALKINI'!D34</f>
        <v>0</v>
      </c>
      <c r="H50" s="228">
        <f>'S.E CALKINI'!E34</f>
        <v>0</v>
      </c>
      <c r="I50" s="228">
        <f>'S.E CALKINI'!F34</f>
        <v>0</v>
      </c>
      <c r="J50" s="228">
        <f>'S.E CALKINI'!G34</f>
        <v>2015.1033319999999</v>
      </c>
      <c r="K50" s="228">
        <f>'S.E CALKINI'!H34</f>
        <v>0</v>
      </c>
      <c r="L50" s="228">
        <f>'S.E CALKINI'!I34</f>
        <v>0</v>
      </c>
      <c r="M50" s="228">
        <f>'S.E CALKINI'!J34</f>
        <v>0</v>
      </c>
      <c r="N50" s="228">
        <f>'S.E CALKINI'!K34</f>
        <v>0</v>
      </c>
      <c r="O50" s="228">
        <f>'S.E CALKINI'!L34</f>
        <v>0</v>
      </c>
      <c r="P50" s="228">
        <f>'S.E CALKINI'!M34</f>
        <v>0</v>
      </c>
      <c r="Q50" s="317">
        <f>'S.E CALKINI'!N34</f>
        <v>0</v>
      </c>
      <c r="R50" s="251">
        <f t="shared" si="0"/>
        <v>2015.1033319999999</v>
      </c>
    </row>
    <row r="51" spans="2:18" x14ac:dyDescent="0.25">
      <c r="B51" s="149">
        <f t="shared" si="1"/>
        <v>49</v>
      </c>
      <c r="C51" s="118" t="s">
        <v>200</v>
      </c>
      <c r="D51" s="118">
        <v>34.5</v>
      </c>
      <c r="E51" s="128" t="s">
        <v>113</v>
      </c>
      <c r="F51" s="228">
        <f>'S.E CAYAL'!B13</f>
        <v>0</v>
      </c>
      <c r="G51" s="228">
        <f>'S.E CAYAL'!D13</f>
        <v>0</v>
      </c>
      <c r="H51" s="228">
        <f>'S.E CAYAL'!E13</f>
        <v>0</v>
      </c>
      <c r="I51" s="228">
        <f>'S.E CAYAL'!F13</f>
        <v>0</v>
      </c>
      <c r="J51" s="228">
        <f>'S.E CAYAL'!G13</f>
        <v>6038.7749830000002</v>
      </c>
      <c r="K51" s="228">
        <f>'S.E CAYAL'!H13</f>
        <v>0</v>
      </c>
      <c r="L51" s="228">
        <f>'S.E CAYAL'!I13</f>
        <v>0</v>
      </c>
      <c r="M51" s="228">
        <f>'S.E CAYAL'!J13</f>
        <v>0</v>
      </c>
      <c r="N51" s="228">
        <f>'S.E CAYAL'!K13</f>
        <v>0</v>
      </c>
      <c r="O51" s="228">
        <f>'S.E CAYAL'!L13</f>
        <v>0</v>
      </c>
      <c r="P51" s="228">
        <f>'S.E CAYAL'!M13</f>
        <v>0</v>
      </c>
      <c r="Q51" s="61">
        <f>'S.E CAYAL'!N13</f>
        <v>0</v>
      </c>
      <c r="R51" s="251">
        <f t="shared" si="0"/>
        <v>6038.7749830000002</v>
      </c>
    </row>
    <row r="52" spans="2:18" x14ac:dyDescent="0.25">
      <c r="B52" s="149">
        <f t="shared" si="1"/>
        <v>50</v>
      </c>
      <c r="C52" s="118" t="s">
        <v>200</v>
      </c>
      <c r="D52" s="118">
        <v>34.5</v>
      </c>
      <c r="E52" s="128" t="s">
        <v>114</v>
      </c>
      <c r="F52" s="228">
        <f>'S.E CAYAL'!B20</f>
        <v>0</v>
      </c>
      <c r="G52" s="228">
        <f>'S.E CAYAL'!D20</f>
        <v>0</v>
      </c>
      <c r="H52" s="228">
        <f>'S.E CAYAL'!E20</f>
        <v>0</v>
      </c>
      <c r="I52" s="228">
        <f>'S.E CAYAL'!F20</f>
        <v>0</v>
      </c>
      <c r="J52" s="228">
        <f>'S.E CAYAL'!G20</f>
        <v>-1</v>
      </c>
      <c r="K52" s="228">
        <f>'S.E CAYAL'!H20</f>
        <v>0</v>
      </c>
      <c r="L52" s="228">
        <f>'S.E CAYAL'!I20</f>
        <v>0</v>
      </c>
      <c r="M52" s="228">
        <f>'S.E CAYAL'!J20</f>
        <v>0</v>
      </c>
      <c r="N52" s="228">
        <f>'S.E CAYAL'!K20</f>
        <v>0</v>
      </c>
      <c r="O52" s="228">
        <f>'S.E CAYAL'!L20</f>
        <v>0</v>
      </c>
      <c r="P52" s="228">
        <f>'S.E CAYAL'!M20</f>
        <v>0</v>
      </c>
      <c r="Q52" s="61">
        <f>'S.E CAYAL'!N20</f>
        <v>0</v>
      </c>
      <c r="R52" s="251">
        <f t="shared" si="0"/>
        <v>0</v>
      </c>
    </row>
    <row r="53" spans="2:18" x14ac:dyDescent="0.25">
      <c r="B53" s="149">
        <f t="shared" si="1"/>
        <v>51</v>
      </c>
      <c r="C53" s="118" t="s">
        <v>200</v>
      </c>
      <c r="D53" s="118">
        <v>34.5</v>
      </c>
      <c r="E53" s="128" t="s">
        <v>115</v>
      </c>
      <c r="F53" s="228">
        <f>'S.E CAYAL'!B27</f>
        <v>0</v>
      </c>
      <c r="G53" s="228">
        <f>'S.E CAYAL'!D27</f>
        <v>0</v>
      </c>
      <c r="H53" s="228">
        <f>'S.E CAYAL'!E27</f>
        <v>0</v>
      </c>
      <c r="I53" s="228">
        <f>'S.E CAYAL'!F27</f>
        <v>0</v>
      </c>
      <c r="J53" s="228">
        <f>'S.E CAYAL'!G27</f>
        <v>-1</v>
      </c>
      <c r="K53" s="228">
        <f>'S.E CAYAL'!H27</f>
        <v>0</v>
      </c>
      <c r="L53" s="228">
        <f>'S.E CAYAL'!I27</f>
        <v>0</v>
      </c>
      <c r="M53" s="228">
        <f>'S.E CAYAL'!J27</f>
        <v>0</v>
      </c>
      <c r="N53" s="228">
        <f>'S.E CAYAL'!K27</f>
        <v>0</v>
      </c>
      <c r="O53" s="228">
        <f>'S.E CAYAL'!L27</f>
        <v>0</v>
      </c>
      <c r="P53" s="228">
        <f>'S.E CAYAL'!M27</f>
        <v>0</v>
      </c>
      <c r="Q53" s="61">
        <f>'S.E CAYAL'!N27</f>
        <v>0</v>
      </c>
      <c r="R53" s="251">
        <f t="shared" si="0"/>
        <v>0</v>
      </c>
    </row>
    <row r="54" spans="2:18" x14ac:dyDescent="0.25">
      <c r="B54" s="149">
        <f t="shared" si="1"/>
        <v>52</v>
      </c>
      <c r="C54" s="118" t="s">
        <v>200</v>
      </c>
      <c r="D54" s="118">
        <v>34.5</v>
      </c>
      <c r="E54" s="128" t="s">
        <v>116</v>
      </c>
      <c r="F54" s="228">
        <f>'S.E CAYAL'!B51</f>
        <v>0</v>
      </c>
      <c r="G54" s="228">
        <f>'S.E CAYAL'!D51</f>
        <v>0</v>
      </c>
      <c r="H54" s="228">
        <f>'S.E CAYAL'!E51</f>
        <v>0</v>
      </c>
      <c r="I54" s="228">
        <f>'S.E CAYAL'!F51</f>
        <v>0</v>
      </c>
      <c r="J54" s="228">
        <f>'S.E CAYAL'!G51</f>
        <v>3846.7629229999998</v>
      </c>
      <c r="K54" s="228">
        <f>'S.E CAYAL'!H51</f>
        <v>0</v>
      </c>
      <c r="L54" s="228">
        <f>'S.E CAYAL'!I51</f>
        <v>0</v>
      </c>
      <c r="M54" s="228">
        <f>'S.E CAYAL'!J51</f>
        <v>0</v>
      </c>
      <c r="N54" s="228">
        <f>'S.E CAYAL'!K51</f>
        <v>0</v>
      </c>
      <c r="O54" s="228">
        <f>'S.E CAYAL'!L51</f>
        <v>0</v>
      </c>
      <c r="P54" s="228">
        <f>'S.E CAYAL'!M51</f>
        <v>0</v>
      </c>
      <c r="Q54" s="61">
        <f>'S.E CAYAL'!N51</f>
        <v>0</v>
      </c>
      <c r="R54" s="251">
        <f t="shared" si="0"/>
        <v>3846.7629229999998</v>
      </c>
    </row>
    <row r="55" spans="2:18" x14ac:dyDescent="0.25">
      <c r="B55" s="149">
        <f t="shared" si="1"/>
        <v>53</v>
      </c>
      <c r="C55" s="118" t="s">
        <v>200</v>
      </c>
      <c r="D55" s="118">
        <v>34.5</v>
      </c>
      <c r="E55" s="128" t="s">
        <v>117</v>
      </c>
      <c r="F55" s="228">
        <f>'S.E CAYAL'!B58</f>
        <v>0</v>
      </c>
      <c r="G55" s="228">
        <f>'S.E CAYAL'!D58</f>
        <v>0</v>
      </c>
      <c r="H55" s="228">
        <f>'S.E CAYAL'!E58</f>
        <v>0</v>
      </c>
      <c r="I55" s="228">
        <f>'S.E CAYAL'!F58</f>
        <v>0</v>
      </c>
      <c r="J55" s="228">
        <f>'S.E CAYAL'!G58</f>
        <v>2666.4616289999999</v>
      </c>
      <c r="K55" s="228">
        <f>'S.E CAYAL'!H58</f>
        <v>0</v>
      </c>
      <c r="L55" s="228">
        <f>'S.E CAYAL'!I58</f>
        <v>0</v>
      </c>
      <c r="M55" s="228">
        <f>'S.E CAYAL'!J58</f>
        <v>0</v>
      </c>
      <c r="N55" s="228">
        <f>'S.E CAYAL'!K58</f>
        <v>0</v>
      </c>
      <c r="O55" s="228">
        <f>'S.E CAYAL'!L58</f>
        <v>0</v>
      </c>
      <c r="P55" s="228">
        <f>'S.E CAYAL'!M58</f>
        <v>0</v>
      </c>
      <c r="Q55" s="61">
        <f>'S.E CAYAL'!N58</f>
        <v>0</v>
      </c>
      <c r="R55" s="251">
        <f t="shared" si="0"/>
        <v>2666.4616289999999</v>
      </c>
    </row>
    <row r="56" spans="2:18" x14ac:dyDescent="0.25">
      <c r="B56" s="149">
        <f t="shared" si="1"/>
        <v>54</v>
      </c>
      <c r="C56" s="118" t="s">
        <v>199</v>
      </c>
      <c r="D56" s="118">
        <v>13.8</v>
      </c>
      <c r="E56" s="127" t="s">
        <v>103</v>
      </c>
      <c r="F56" s="228">
        <f>'S.E HECELCHAKAN'!B13</f>
        <v>0</v>
      </c>
      <c r="G56" s="228">
        <f>'S.E HECELCHAKAN'!D13</f>
        <v>0</v>
      </c>
      <c r="H56" s="228">
        <f>'S.E HECELCHAKAN'!E13</f>
        <v>0</v>
      </c>
      <c r="I56" s="228">
        <f>'S.E HECELCHAKAN'!F13</f>
        <v>0</v>
      </c>
      <c r="J56" s="228">
        <f>'S.E HECELCHAKAN'!G13</f>
        <v>429.69047599999999</v>
      </c>
      <c r="K56" s="228">
        <f>'S.E HECELCHAKAN'!H13</f>
        <v>0</v>
      </c>
      <c r="L56" s="228">
        <f>'S.E HECELCHAKAN'!I13</f>
        <v>0</v>
      </c>
      <c r="M56" s="228">
        <f>'S.E HECELCHAKAN'!J13</f>
        <v>0</v>
      </c>
      <c r="N56" s="228">
        <f>'S.E HECELCHAKAN'!K13</f>
        <v>0</v>
      </c>
      <c r="O56" s="228">
        <f>'S.E HECELCHAKAN'!L13</f>
        <v>0</v>
      </c>
      <c r="P56" s="228">
        <f>'S.E HECELCHAKAN'!M13</f>
        <v>0</v>
      </c>
      <c r="Q56" s="61">
        <f>'S.E HECELCHAKAN'!N13</f>
        <v>0</v>
      </c>
      <c r="R56" s="251">
        <f t="shared" si="0"/>
        <v>429.69047599999999</v>
      </c>
    </row>
    <row r="57" spans="2:18" x14ac:dyDescent="0.25">
      <c r="B57" s="149">
        <f t="shared" si="1"/>
        <v>55</v>
      </c>
      <c r="C57" s="118" t="s">
        <v>199</v>
      </c>
      <c r="D57" s="118">
        <v>13.8</v>
      </c>
      <c r="E57" s="127" t="s">
        <v>118</v>
      </c>
      <c r="F57" s="228">
        <f>'S.E HECELCHAKAN'!B20</f>
        <v>0</v>
      </c>
      <c r="G57" s="228">
        <f>'S.E HECELCHAKAN'!D20</f>
        <v>0</v>
      </c>
      <c r="H57" s="228">
        <f>'S.E HECELCHAKAN'!E20</f>
        <v>0</v>
      </c>
      <c r="I57" s="228">
        <f>'S.E HECELCHAKAN'!F20</f>
        <v>0</v>
      </c>
      <c r="J57" s="228">
        <f>'S.E HECELCHAKAN'!G20</f>
        <v>1346.6666660000001</v>
      </c>
      <c r="K57" s="228">
        <f>'S.E HECELCHAKAN'!H20</f>
        <v>0</v>
      </c>
      <c r="L57" s="228">
        <f>'S.E HECELCHAKAN'!I20</f>
        <v>0</v>
      </c>
      <c r="M57" s="228">
        <f>'S.E HECELCHAKAN'!J20</f>
        <v>0</v>
      </c>
      <c r="N57" s="228">
        <f>'S.E HECELCHAKAN'!K20</f>
        <v>0</v>
      </c>
      <c r="O57" s="228">
        <f>'S.E HECELCHAKAN'!L20</f>
        <v>0</v>
      </c>
      <c r="P57" s="228">
        <f>'S.E HECELCHAKAN'!M20</f>
        <v>0</v>
      </c>
      <c r="Q57" s="61">
        <f>'S.E HECELCHAKAN'!N20</f>
        <v>0</v>
      </c>
      <c r="R57" s="251">
        <f t="shared" si="0"/>
        <v>1346.6666660000001</v>
      </c>
    </row>
    <row r="58" spans="2:18" x14ac:dyDescent="0.25">
      <c r="B58" s="149">
        <f t="shared" si="1"/>
        <v>56</v>
      </c>
      <c r="C58" s="118" t="s">
        <v>199</v>
      </c>
      <c r="D58" s="118">
        <v>13.8</v>
      </c>
      <c r="E58" s="127" t="s">
        <v>91</v>
      </c>
      <c r="F58" s="228">
        <f>'S.E HECELCHAKAN'!B27</f>
        <v>0</v>
      </c>
      <c r="G58" s="228">
        <f>'S.E HECELCHAKAN'!D27</f>
        <v>0</v>
      </c>
      <c r="H58" s="228">
        <f>'S.E HECELCHAKAN'!E27</f>
        <v>0</v>
      </c>
      <c r="I58" s="228">
        <f>'S.E HECELCHAKAN'!F27</f>
        <v>0</v>
      </c>
      <c r="J58" s="228">
        <f>'S.E HECELCHAKAN'!G27</f>
        <v>2490</v>
      </c>
      <c r="K58" s="228">
        <f>'S.E HECELCHAKAN'!H27</f>
        <v>0</v>
      </c>
      <c r="L58" s="228">
        <f>'S.E HECELCHAKAN'!I27</f>
        <v>0</v>
      </c>
      <c r="M58" s="228">
        <f>'S.E HECELCHAKAN'!J27</f>
        <v>0</v>
      </c>
      <c r="N58" s="228">
        <f>'S.E HECELCHAKAN'!K27</f>
        <v>0</v>
      </c>
      <c r="O58" s="228">
        <f>'S.E HECELCHAKAN'!L27</f>
        <v>0</v>
      </c>
      <c r="P58" s="228">
        <f>'S.E HECELCHAKAN'!M27</f>
        <v>0</v>
      </c>
      <c r="Q58" s="61">
        <f>'S.E HECELCHAKAN'!N27</f>
        <v>0</v>
      </c>
      <c r="R58" s="251">
        <f t="shared" si="0"/>
        <v>2490</v>
      </c>
    </row>
    <row r="59" spans="2:18" x14ac:dyDescent="0.25">
      <c r="B59" s="149">
        <f t="shared" si="1"/>
        <v>57</v>
      </c>
      <c r="C59" s="118" t="s">
        <v>199</v>
      </c>
      <c r="D59" s="118">
        <v>13.8</v>
      </c>
      <c r="E59" s="128" t="s">
        <v>92</v>
      </c>
      <c r="F59" s="326">
        <f>'S.E HECELCHAKAN'!B34</f>
        <v>0</v>
      </c>
      <c r="G59" s="326">
        <f>'S.E HECELCHAKAN'!D34</f>
        <v>0</v>
      </c>
      <c r="H59" s="326">
        <f>'S.E HECELCHAKAN'!E34</f>
        <v>0</v>
      </c>
      <c r="I59" s="326">
        <f>'S.E HECELCHAKAN'!F34</f>
        <v>0</v>
      </c>
      <c r="J59" s="326">
        <f>'S.E HECELCHAKAN'!G34</f>
        <v>1960</v>
      </c>
      <c r="K59" s="326">
        <f>'S.E HECELCHAKAN'!H34</f>
        <v>0</v>
      </c>
      <c r="L59" s="326">
        <f>'S.E HECELCHAKAN'!I34</f>
        <v>0</v>
      </c>
      <c r="M59" s="326">
        <f>'S.E HECELCHAKAN'!J34</f>
        <v>0</v>
      </c>
      <c r="N59" s="326">
        <f>'S.E HECELCHAKAN'!K34</f>
        <v>0</v>
      </c>
      <c r="O59" s="326">
        <f>'S.E HECELCHAKAN'!L34</f>
        <v>0</v>
      </c>
      <c r="P59" s="326">
        <f>'S.E HECELCHAKAN'!M34</f>
        <v>0</v>
      </c>
      <c r="Q59" s="160">
        <f>'S.E HECELCHAKAN'!N34</f>
        <v>0</v>
      </c>
      <c r="R59" s="251">
        <f t="shared" si="0"/>
        <v>1960</v>
      </c>
    </row>
    <row r="60" spans="2:18" x14ac:dyDescent="0.25">
      <c r="B60" s="149">
        <f t="shared" si="1"/>
        <v>58</v>
      </c>
      <c r="C60" s="118" t="s">
        <v>200</v>
      </c>
      <c r="D60" s="118">
        <v>13.8</v>
      </c>
      <c r="E60" s="128" t="s">
        <v>39</v>
      </c>
      <c r="F60" s="326">
        <f>'S.E HOPELCHEN'!B13</f>
        <v>0</v>
      </c>
      <c r="G60" s="326">
        <f>'S.E HOPELCHEN'!D13</f>
        <v>0</v>
      </c>
      <c r="H60" s="326">
        <f>'S.E HOPELCHEN'!E13</f>
        <v>0</v>
      </c>
      <c r="I60" s="326">
        <f>'S.E HOPELCHEN'!F13</f>
        <v>0</v>
      </c>
      <c r="J60" s="326">
        <f>'S.E HOPELCHEN'!G13</f>
        <v>1959</v>
      </c>
      <c r="K60" s="326">
        <f>'S.E HOPELCHEN'!H13</f>
        <v>0</v>
      </c>
      <c r="L60" s="326">
        <f>'S.E HOPELCHEN'!I13</f>
        <v>0</v>
      </c>
      <c r="M60" s="326">
        <f>'S.E HOPELCHEN'!J13</f>
        <v>0</v>
      </c>
      <c r="N60" s="326">
        <f>'S.E HOPELCHEN'!K13</f>
        <v>0</v>
      </c>
      <c r="O60" s="326">
        <f>'S.E HOPELCHEN'!L13</f>
        <v>0</v>
      </c>
      <c r="P60" s="326">
        <f>'S.E HOPELCHEN'!M13</f>
        <v>0</v>
      </c>
      <c r="Q60" s="316">
        <f>'S.E HOPELCHEN'!N13</f>
        <v>0</v>
      </c>
      <c r="R60" s="251">
        <f t="shared" si="0"/>
        <v>1959</v>
      </c>
    </row>
    <row r="61" spans="2:18" x14ac:dyDescent="0.25">
      <c r="B61" s="149">
        <f t="shared" si="1"/>
        <v>59</v>
      </c>
      <c r="C61" s="118" t="s">
        <v>200</v>
      </c>
      <c r="D61" s="118">
        <v>13.8</v>
      </c>
      <c r="E61" s="128" t="s">
        <v>40</v>
      </c>
      <c r="F61" s="326">
        <f>'S.E HOPELCHEN'!B20</f>
        <v>0</v>
      </c>
      <c r="G61" s="326">
        <f>'S.E HOPELCHEN'!D20</f>
        <v>0</v>
      </c>
      <c r="H61" s="326">
        <f>'S.E HOPELCHEN'!E20</f>
        <v>0</v>
      </c>
      <c r="I61" s="326">
        <f>'S.E HOPELCHEN'!F20</f>
        <v>0</v>
      </c>
      <c r="J61" s="326">
        <f>'S.E HOPELCHEN'!G20</f>
        <v>1206</v>
      </c>
      <c r="K61" s="326">
        <f>'S.E HOPELCHEN'!H20</f>
        <v>0</v>
      </c>
      <c r="L61" s="326">
        <f>'S.E HOPELCHEN'!I20</f>
        <v>0</v>
      </c>
      <c r="M61" s="326">
        <f>'S.E HOPELCHEN'!J20</f>
        <v>0</v>
      </c>
      <c r="N61" s="326">
        <f>'S.E HOPELCHEN'!K20</f>
        <v>0</v>
      </c>
      <c r="O61" s="326">
        <f>'S.E HOPELCHEN'!L20</f>
        <v>0</v>
      </c>
      <c r="P61" s="326">
        <f>'S.E HOPELCHEN'!M20</f>
        <v>0</v>
      </c>
      <c r="Q61" s="316">
        <f>'S.E HOPELCHEN'!N20</f>
        <v>0</v>
      </c>
      <c r="R61" s="251">
        <f t="shared" si="0"/>
        <v>1206</v>
      </c>
    </row>
    <row r="62" spans="2:18" x14ac:dyDescent="0.25">
      <c r="B62" s="149">
        <f t="shared" si="1"/>
        <v>60</v>
      </c>
      <c r="C62" s="118" t="s">
        <v>200</v>
      </c>
      <c r="D62" s="118">
        <v>13.8</v>
      </c>
      <c r="E62" s="128" t="s">
        <v>41</v>
      </c>
      <c r="F62" s="326">
        <f>'S.E HOPELCHEN'!B27</f>
        <v>0</v>
      </c>
      <c r="G62" s="326">
        <f>'S.E HOPELCHEN'!D27</f>
        <v>0</v>
      </c>
      <c r="H62" s="326">
        <f>'S.E HOPELCHEN'!E27</f>
        <v>0</v>
      </c>
      <c r="I62" s="326">
        <f>'S.E HOPELCHEN'!F27</f>
        <v>0</v>
      </c>
      <c r="J62" s="326">
        <f>'S.E HOPELCHEN'!G27</f>
        <v>1077</v>
      </c>
      <c r="K62" s="326">
        <f>'S.E HOPELCHEN'!H27</f>
        <v>0</v>
      </c>
      <c r="L62" s="326">
        <f>'S.E HOPELCHEN'!I27</f>
        <v>0</v>
      </c>
      <c r="M62" s="326">
        <f>'S.E HOPELCHEN'!J27</f>
        <v>0</v>
      </c>
      <c r="N62" s="326">
        <f>'S.E HOPELCHEN'!K27</f>
        <v>0</v>
      </c>
      <c r="O62" s="326">
        <f>'S.E HOPELCHEN'!L27</f>
        <v>0</v>
      </c>
      <c r="P62" s="326">
        <f>'S.E HOPELCHEN'!M27</f>
        <v>0</v>
      </c>
      <c r="Q62" s="316">
        <f>'S.E HOPELCHEN'!N27</f>
        <v>0</v>
      </c>
      <c r="R62" s="251">
        <f t="shared" si="0"/>
        <v>1077</v>
      </c>
    </row>
    <row r="63" spans="2:18" x14ac:dyDescent="0.25">
      <c r="B63" s="149">
        <f t="shared" si="1"/>
        <v>61</v>
      </c>
      <c r="C63" s="118" t="s">
        <v>200</v>
      </c>
      <c r="D63" s="118">
        <v>13.8</v>
      </c>
      <c r="E63" s="128" t="s">
        <v>42</v>
      </c>
      <c r="F63" s="326">
        <f>'S.E HOPELCHEN'!B34</f>
        <v>0</v>
      </c>
      <c r="G63" s="326">
        <f>'S.E HOPELCHEN'!D34</f>
        <v>0</v>
      </c>
      <c r="H63" s="326">
        <f>'S.E HOPELCHEN'!E34</f>
        <v>0</v>
      </c>
      <c r="I63" s="326">
        <f>'S.E HOPELCHEN'!F34</f>
        <v>0</v>
      </c>
      <c r="J63" s="326">
        <f>'S.E HOPELCHEN'!G34</f>
        <v>3460</v>
      </c>
      <c r="K63" s="326">
        <f>'S.E HOPELCHEN'!H34</f>
        <v>0</v>
      </c>
      <c r="L63" s="326">
        <f>'S.E HOPELCHEN'!I34</f>
        <v>0</v>
      </c>
      <c r="M63" s="326">
        <f>'S.E HOPELCHEN'!J34</f>
        <v>0</v>
      </c>
      <c r="N63" s="326">
        <f>'S.E HOPELCHEN'!K34</f>
        <v>0</v>
      </c>
      <c r="O63" s="326">
        <f>'S.E HOPELCHEN'!L34</f>
        <v>0</v>
      </c>
      <c r="P63" s="326">
        <f>'S.E HOPELCHEN'!M34</f>
        <v>0</v>
      </c>
      <c r="Q63" s="316">
        <f>'S.E HOPELCHEN'!N34</f>
        <v>0</v>
      </c>
      <c r="R63" s="251">
        <f t="shared" si="0"/>
        <v>3460</v>
      </c>
    </row>
    <row r="64" spans="2:18" x14ac:dyDescent="0.25">
      <c r="B64" s="149">
        <f t="shared" si="1"/>
        <v>62</v>
      </c>
      <c r="C64" s="118" t="s">
        <v>201</v>
      </c>
      <c r="D64" s="118">
        <v>34.5</v>
      </c>
      <c r="E64" s="128" t="s">
        <v>73</v>
      </c>
      <c r="F64" s="326">
        <f>'S.E CHICBUL'!B13</f>
        <v>0</v>
      </c>
      <c r="G64" s="326">
        <f>'S.E CHICBUL'!D13</f>
        <v>0</v>
      </c>
      <c r="H64" s="326">
        <f>'S.E CHICBUL'!E13</f>
        <v>0</v>
      </c>
      <c r="I64" s="326">
        <f>'S.E CHICBUL'!F13</f>
        <v>0</v>
      </c>
      <c r="J64" s="326">
        <f>'S.E CHICBUL'!G13</f>
        <v>2144</v>
      </c>
      <c r="K64" s="326">
        <f>'S.E CHICBUL'!H13</f>
        <v>0</v>
      </c>
      <c r="L64" s="326">
        <f>'S.E CHICBUL'!I13</f>
        <v>0</v>
      </c>
      <c r="M64" s="326">
        <f>'S.E CHICBUL'!J13</f>
        <v>0</v>
      </c>
      <c r="N64" s="326">
        <f>'S.E CHICBUL'!K13</f>
        <v>0</v>
      </c>
      <c r="O64" s="326">
        <f>'S.E CHICBUL'!L13</f>
        <v>0</v>
      </c>
      <c r="P64" s="326">
        <f>'S.E CHICBUL'!M13</f>
        <v>0</v>
      </c>
      <c r="Q64" s="316">
        <f>'S.E CHICBUL'!N13</f>
        <v>0</v>
      </c>
      <c r="R64" s="251">
        <f t="shared" si="0"/>
        <v>2144</v>
      </c>
    </row>
    <row r="65" spans="2:18" x14ac:dyDescent="0.25">
      <c r="B65" s="149">
        <f t="shared" si="1"/>
        <v>63</v>
      </c>
      <c r="C65" s="118" t="s">
        <v>201</v>
      </c>
      <c r="D65" s="118">
        <v>34.5</v>
      </c>
      <c r="E65" s="128" t="s">
        <v>74</v>
      </c>
      <c r="F65" s="326">
        <f>'S.E CHICBUL'!B20</f>
        <v>0</v>
      </c>
      <c r="G65" s="326">
        <f>'S.E CHICBUL'!D20</f>
        <v>0</v>
      </c>
      <c r="H65" s="326">
        <f>'S.E CHICBUL'!E20</f>
        <v>0</v>
      </c>
      <c r="I65" s="326">
        <f>'S.E CHICBUL'!F20</f>
        <v>0</v>
      </c>
      <c r="J65" s="326">
        <f>'S.E CHICBUL'!G20</f>
        <v>2144</v>
      </c>
      <c r="K65" s="326">
        <f>'S.E CHICBUL'!H20</f>
        <v>0</v>
      </c>
      <c r="L65" s="326">
        <f>'S.E CHICBUL'!I20</f>
        <v>0</v>
      </c>
      <c r="M65" s="326">
        <f>'S.E CHICBUL'!J20</f>
        <v>0</v>
      </c>
      <c r="N65" s="326">
        <f>'S.E CHICBUL'!K20</f>
        <v>0</v>
      </c>
      <c r="O65" s="326">
        <f>'S.E CHICBUL'!L20</f>
        <v>0</v>
      </c>
      <c r="P65" s="326">
        <f>'S.E CHICBUL'!M20</f>
        <v>0</v>
      </c>
      <c r="Q65" s="316">
        <f>'S.E CHICBUL'!N20</f>
        <v>0</v>
      </c>
      <c r="R65" s="251">
        <f t="shared" si="0"/>
        <v>2144</v>
      </c>
    </row>
    <row r="66" spans="2:18" x14ac:dyDescent="0.25">
      <c r="B66" s="149">
        <f t="shared" si="1"/>
        <v>64</v>
      </c>
      <c r="C66" s="118" t="s">
        <v>201</v>
      </c>
      <c r="D66" s="118">
        <v>34.5</v>
      </c>
      <c r="E66" s="128" t="s">
        <v>156</v>
      </c>
      <c r="F66" s="228">
        <f>'S.E SABANCUY'!B13</f>
        <v>0</v>
      </c>
      <c r="G66" s="228">
        <f>'S.E SABANCUY'!D13</f>
        <v>0</v>
      </c>
      <c r="H66" s="228">
        <f>'S.E SABANCUY'!E13</f>
        <v>0</v>
      </c>
      <c r="I66" s="228">
        <f>'S.E SABANCUY'!F13</f>
        <v>0</v>
      </c>
      <c r="J66" s="228">
        <f>'S.E SABANCUY'!G13</f>
        <v>1949.6350090000001</v>
      </c>
      <c r="K66" s="228">
        <f>'S.E SABANCUY'!H13</f>
        <v>0</v>
      </c>
      <c r="L66" s="228">
        <f>'S.E SABANCUY'!I13</f>
        <v>0</v>
      </c>
      <c r="M66" s="228">
        <f>'S.E SABANCUY'!J13</f>
        <v>0</v>
      </c>
      <c r="N66" s="228">
        <f>'S.E SABANCUY'!K13</f>
        <v>0</v>
      </c>
      <c r="O66" s="228">
        <f>'S.E SABANCUY'!L13</f>
        <v>0</v>
      </c>
      <c r="P66" s="228">
        <f>'S.E SABANCUY'!M13</f>
        <v>0</v>
      </c>
      <c r="Q66" s="145">
        <f>'S.E SABANCUY'!N13</f>
        <v>0</v>
      </c>
      <c r="R66" s="251">
        <f t="shared" si="0"/>
        <v>1949.6350090000001</v>
      </c>
    </row>
    <row r="67" spans="2:18" x14ac:dyDescent="0.25">
      <c r="B67" s="149">
        <f t="shared" si="1"/>
        <v>65</v>
      </c>
      <c r="C67" s="118" t="s">
        <v>201</v>
      </c>
      <c r="D67" s="118">
        <v>34.5</v>
      </c>
      <c r="E67" s="128" t="s">
        <v>157</v>
      </c>
      <c r="F67" s="228">
        <f>'S.E SABANCUY'!B20</f>
        <v>0</v>
      </c>
      <c r="G67" s="228">
        <f>'S.E SABANCUY'!D20</f>
        <v>0</v>
      </c>
      <c r="H67" s="228">
        <f>'S.E SABANCUY'!E20</f>
        <v>0</v>
      </c>
      <c r="I67" s="228">
        <f>'S.E SABANCUY'!F20</f>
        <v>0</v>
      </c>
      <c r="J67" s="228">
        <f>'S.E SABANCUY'!G20</f>
        <v>1923.101684</v>
      </c>
      <c r="K67" s="228">
        <f>'S.E SABANCUY'!H20</f>
        <v>0</v>
      </c>
      <c r="L67" s="228">
        <f>'S.E SABANCUY'!I20</f>
        <v>0</v>
      </c>
      <c r="M67" s="228">
        <f>'S.E SABANCUY'!J20</f>
        <v>0</v>
      </c>
      <c r="N67" s="228">
        <f>'S.E SABANCUY'!K20</f>
        <v>0</v>
      </c>
      <c r="O67" s="228">
        <f>'S.E SABANCUY'!L20</f>
        <v>0</v>
      </c>
      <c r="P67" s="228">
        <f>'S.E SABANCUY'!M20</f>
        <v>0</v>
      </c>
      <c r="Q67" s="145">
        <f>'S.E SABANCUY'!N20</f>
        <v>0</v>
      </c>
      <c r="R67" s="251">
        <f t="shared" si="0"/>
        <v>1923.101684</v>
      </c>
    </row>
    <row r="68" spans="2:18" x14ac:dyDescent="0.25">
      <c r="B68" s="149">
        <f t="shared" si="1"/>
        <v>66</v>
      </c>
      <c r="C68" s="118" t="s">
        <v>203</v>
      </c>
      <c r="D68" s="118">
        <v>13.8</v>
      </c>
      <c r="E68" s="127" t="s">
        <v>37</v>
      </c>
      <c r="F68" s="326">
        <f>'S.E CANDELARIA'!B13</f>
        <v>0</v>
      </c>
      <c r="G68" s="326">
        <f>'S.E CANDELARIA'!D13</f>
        <v>0</v>
      </c>
      <c r="H68" s="326">
        <f>'S.E CANDELARIA'!E13</f>
        <v>0</v>
      </c>
      <c r="I68" s="326">
        <f>'S.E CANDELARIA'!F13</f>
        <v>0</v>
      </c>
      <c r="J68" s="326">
        <f>'S.E CANDELARIA'!G13</f>
        <v>3172</v>
      </c>
      <c r="K68" s="326">
        <f>'S.E CANDELARIA'!H13</f>
        <v>0</v>
      </c>
      <c r="L68" s="326">
        <f>'S.E CANDELARIA'!I13</f>
        <v>0</v>
      </c>
      <c r="M68" s="326">
        <f>'S.E CANDELARIA'!J13</f>
        <v>0</v>
      </c>
      <c r="N68" s="326">
        <f>'S.E CANDELARIA'!K13</f>
        <v>0</v>
      </c>
      <c r="O68" s="326">
        <f>'S.E CANDELARIA'!L13</f>
        <v>0</v>
      </c>
      <c r="P68" s="326">
        <f>'S.E CANDELARIA'!M13</f>
        <v>0</v>
      </c>
      <c r="Q68" s="316">
        <f>'S.E CANDELARIA'!N13</f>
        <v>0</v>
      </c>
      <c r="R68" s="251">
        <f t="shared" ref="R68:R86" si="2">MAX(F68:Q68)</f>
        <v>3172</v>
      </c>
    </row>
    <row r="69" spans="2:18" x14ac:dyDescent="0.25">
      <c r="B69" s="149">
        <f t="shared" si="1"/>
        <v>67</v>
      </c>
      <c r="C69" s="118" t="s">
        <v>203</v>
      </c>
      <c r="D69" s="118">
        <v>13.8</v>
      </c>
      <c r="E69" s="127" t="s">
        <v>38</v>
      </c>
      <c r="F69" s="326">
        <f>'S.E CANDELARIA'!B20</f>
        <v>0</v>
      </c>
      <c r="G69" s="326">
        <f>'S.E CANDELARIA'!D20</f>
        <v>0</v>
      </c>
      <c r="H69" s="326">
        <f>'S.E CANDELARIA'!E20</f>
        <v>0</v>
      </c>
      <c r="I69" s="326">
        <f>'S.E CANDELARIA'!F20</f>
        <v>0</v>
      </c>
      <c r="J69" s="326">
        <f>'S.E CANDELARIA'!G20</f>
        <v>2431</v>
      </c>
      <c r="K69" s="326">
        <f>'S.E CANDELARIA'!H20</f>
        <v>0</v>
      </c>
      <c r="L69" s="326">
        <f>'S.E CANDELARIA'!I20</f>
        <v>0</v>
      </c>
      <c r="M69" s="326">
        <f>'S.E CANDELARIA'!J20</f>
        <v>0</v>
      </c>
      <c r="N69" s="326">
        <f>'S.E CANDELARIA'!K20</f>
        <v>0</v>
      </c>
      <c r="O69" s="326">
        <f>'S.E CANDELARIA'!L20</f>
        <v>0</v>
      </c>
      <c r="P69" s="326">
        <f>'S.E CANDELARIA'!M20</f>
        <v>0</v>
      </c>
      <c r="Q69" s="316">
        <f>'S.E CANDELARIA'!N20</f>
        <v>0</v>
      </c>
      <c r="R69" s="251">
        <f t="shared" si="2"/>
        <v>2431</v>
      </c>
    </row>
    <row r="70" spans="2:18" x14ac:dyDescent="0.25">
      <c r="B70" s="149">
        <f t="shared" ref="B70:B87" si="3">B69+1</f>
        <v>68</v>
      </c>
      <c r="C70" s="118" t="s">
        <v>203</v>
      </c>
      <c r="D70" s="118">
        <v>13.8</v>
      </c>
      <c r="E70" s="128" t="s">
        <v>175</v>
      </c>
      <c r="F70" s="228">
        <f>'S.E CANDELARIA'!B27</f>
        <v>0</v>
      </c>
      <c r="G70" s="228">
        <f>'S.E CANDELARIA'!D27</f>
        <v>0</v>
      </c>
      <c r="H70" s="228">
        <f>'S.E CANDELARIA'!E27</f>
        <v>0</v>
      </c>
      <c r="I70" s="228">
        <f>'S.E CANDELARIA'!F27</f>
        <v>0</v>
      </c>
      <c r="J70" s="228">
        <f>'S.E CANDELARIA'!G27</f>
        <v>2554</v>
      </c>
      <c r="K70" s="228">
        <f>'S.E CANDELARIA'!H27</f>
        <v>0</v>
      </c>
      <c r="L70" s="228">
        <f>'S.E CANDELARIA'!I27</f>
        <v>0</v>
      </c>
      <c r="M70" s="228">
        <f>'S.E CANDELARIA'!J27</f>
        <v>0</v>
      </c>
      <c r="N70" s="228">
        <f>'S.E CANDELARIA'!K27</f>
        <v>0</v>
      </c>
      <c r="O70" s="228">
        <f>'S.E CANDELARIA'!L27</f>
        <v>0</v>
      </c>
      <c r="P70" s="228">
        <f>'S.E CANDELARIA'!M27</f>
        <v>0</v>
      </c>
      <c r="Q70" s="145">
        <f>'S.E CANDELARIA'!N27</f>
        <v>0</v>
      </c>
      <c r="R70" s="251">
        <f t="shared" si="2"/>
        <v>2554</v>
      </c>
    </row>
    <row r="71" spans="2:18" x14ac:dyDescent="0.25">
      <c r="B71" s="149">
        <f t="shared" si="3"/>
        <v>69</v>
      </c>
      <c r="C71" s="118" t="s">
        <v>201</v>
      </c>
      <c r="D71" s="118">
        <v>13.8</v>
      </c>
      <c r="E71" s="127" t="s">
        <v>85</v>
      </c>
      <c r="F71" s="228">
        <f>'S.E ESCARCEGA'!B51</f>
        <v>0</v>
      </c>
      <c r="G71" s="228">
        <f>'S.E ESCARCEGA'!D51</f>
        <v>0</v>
      </c>
      <c r="H71" s="228">
        <f>'S.E ESCARCEGA'!E51</f>
        <v>0</v>
      </c>
      <c r="I71" s="228">
        <f>'S.E ESCARCEGA'!F51</f>
        <v>0</v>
      </c>
      <c r="J71" s="228">
        <f>'S.E ESCARCEGA'!G51</f>
        <v>4025.0016679999999</v>
      </c>
      <c r="K71" s="228">
        <f>'S.E ESCARCEGA'!H51</f>
        <v>0</v>
      </c>
      <c r="L71" s="228">
        <f>'S.E ESCARCEGA'!I51</f>
        <v>0</v>
      </c>
      <c r="M71" s="228">
        <f>'S.E ESCARCEGA'!J51</f>
        <v>0</v>
      </c>
      <c r="N71" s="228">
        <f>'S.E ESCARCEGA'!K51</f>
        <v>0</v>
      </c>
      <c r="O71" s="228">
        <f>'S.E ESCARCEGA'!L51</f>
        <v>0</v>
      </c>
      <c r="P71" s="228">
        <f>'S.E ESCARCEGA'!M51</f>
        <v>0</v>
      </c>
      <c r="Q71" s="61">
        <f>'S.E ESCARCEGA'!N51</f>
        <v>0</v>
      </c>
      <c r="R71" s="251">
        <f t="shared" si="2"/>
        <v>4025.0016679999999</v>
      </c>
    </row>
    <row r="72" spans="2:18" x14ac:dyDescent="0.25">
      <c r="B72" s="149">
        <f t="shared" si="3"/>
        <v>70</v>
      </c>
      <c r="C72" s="118" t="s">
        <v>201</v>
      </c>
      <c r="D72" s="118">
        <v>13.8</v>
      </c>
      <c r="E72" s="127" t="s">
        <v>86</v>
      </c>
      <c r="F72" s="228">
        <f>'S.E ESCARCEGA'!B58</f>
        <v>0</v>
      </c>
      <c r="G72" s="228">
        <f>'S.E ESCARCEGA'!D58</f>
        <v>0</v>
      </c>
      <c r="H72" s="228">
        <f>'S.E ESCARCEGA'!E58</f>
        <v>0</v>
      </c>
      <c r="I72" s="228">
        <f>'S.E ESCARCEGA'!F58</f>
        <v>0</v>
      </c>
      <c r="J72" s="228">
        <f>'S.E ESCARCEGA'!G58</f>
        <v>3437.8966869999999</v>
      </c>
      <c r="K72" s="228">
        <f>'S.E ESCARCEGA'!H58</f>
        <v>0</v>
      </c>
      <c r="L72" s="228">
        <f>'S.E ESCARCEGA'!I58</f>
        <v>0</v>
      </c>
      <c r="M72" s="228">
        <f>'S.E ESCARCEGA'!J58</f>
        <v>0</v>
      </c>
      <c r="N72" s="228">
        <f>'S.E ESCARCEGA'!K58</f>
        <v>0</v>
      </c>
      <c r="O72" s="228">
        <f>'S.E ESCARCEGA'!L58</f>
        <v>0</v>
      </c>
      <c r="P72" s="228">
        <f>'S.E ESCARCEGA'!M58</f>
        <v>0</v>
      </c>
      <c r="Q72" s="61">
        <f>'S.E ESCARCEGA'!N58</f>
        <v>0</v>
      </c>
      <c r="R72" s="251">
        <f t="shared" si="2"/>
        <v>3437.8966869999999</v>
      </c>
    </row>
    <row r="73" spans="2:18" x14ac:dyDescent="0.25">
      <c r="B73" s="149">
        <f t="shared" si="3"/>
        <v>71</v>
      </c>
      <c r="C73" s="118" t="s">
        <v>201</v>
      </c>
      <c r="D73" s="118">
        <v>13.8</v>
      </c>
      <c r="E73" s="127" t="s">
        <v>87</v>
      </c>
      <c r="F73" s="228">
        <f>'S.E ESCARCEGA'!B65</f>
        <v>0</v>
      </c>
      <c r="G73" s="228">
        <f>'S.E ESCARCEGA'!D65</f>
        <v>0</v>
      </c>
      <c r="H73" s="228">
        <f>'S.E ESCARCEGA'!E65</f>
        <v>0</v>
      </c>
      <c r="I73" s="228">
        <f>'S.E ESCARCEGA'!F65</f>
        <v>0</v>
      </c>
      <c r="J73" s="228">
        <f>'S.E ESCARCEGA'!G65</f>
        <v>4791.2383620000001</v>
      </c>
      <c r="K73" s="228">
        <f>'S.E ESCARCEGA'!H65</f>
        <v>0</v>
      </c>
      <c r="L73" s="228">
        <f>'S.E ESCARCEGA'!I65</f>
        <v>0</v>
      </c>
      <c r="M73" s="228">
        <f>'S.E ESCARCEGA'!J65</f>
        <v>0</v>
      </c>
      <c r="N73" s="228">
        <f>'S.E ESCARCEGA'!K65</f>
        <v>0</v>
      </c>
      <c r="O73" s="228">
        <f>'S.E ESCARCEGA'!L65</f>
        <v>0</v>
      </c>
      <c r="P73" s="228">
        <f>'S.E ESCARCEGA'!M65</f>
        <v>0</v>
      </c>
      <c r="Q73" s="61">
        <f>'S.E ESCARCEGA'!N65</f>
        <v>0</v>
      </c>
      <c r="R73" s="251">
        <f t="shared" si="2"/>
        <v>4791.2383620000001</v>
      </c>
    </row>
    <row r="74" spans="2:18" x14ac:dyDescent="0.25">
      <c r="B74" s="149">
        <f t="shared" si="3"/>
        <v>72</v>
      </c>
      <c r="C74" s="118" t="s">
        <v>201</v>
      </c>
      <c r="D74" s="118">
        <v>34.5</v>
      </c>
      <c r="E74" s="127" t="s">
        <v>88</v>
      </c>
      <c r="F74" s="228">
        <f>'S.E ESCARCEGA'!B13</f>
        <v>0</v>
      </c>
      <c r="G74" s="228">
        <f>'S.E ESCARCEGA'!D13</f>
        <v>0</v>
      </c>
      <c r="H74" s="228">
        <f>'S.E ESCARCEGA'!E13</f>
        <v>0</v>
      </c>
      <c r="I74" s="228">
        <f>'S.E ESCARCEGA'!F13</f>
        <v>0</v>
      </c>
      <c r="J74" s="228">
        <f>'S.E ESCARCEGA'!G13</f>
        <v>7439.4366040000004</v>
      </c>
      <c r="K74" s="228">
        <f>'S.E ESCARCEGA'!H13</f>
        <v>0</v>
      </c>
      <c r="L74" s="228">
        <f>'S.E ESCARCEGA'!I13</f>
        <v>0</v>
      </c>
      <c r="M74" s="228">
        <f>'S.E ESCARCEGA'!J13</f>
        <v>0</v>
      </c>
      <c r="N74" s="228">
        <f>'S.E ESCARCEGA'!K13</f>
        <v>0</v>
      </c>
      <c r="O74" s="228">
        <f>'S.E ESCARCEGA'!L13</f>
        <v>0</v>
      </c>
      <c r="P74" s="228">
        <f>'S.E ESCARCEGA'!M13</f>
        <v>0</v>
      </c>
      <c r="Q74" s="61">
        <f>'S.E ESCARCEGA'!N13</f>
        <v>0</v>
      </c>
      <c r="R74" s="251">
        <f t="shared" si="2"/>
        <v>7439.4366040000004</v>
      </c>
    </row>
    <row r="75" spans="2:18" x14ac:dyDescent="0.25">
      <c r="B75" s="149">
        <f t="shared" si="3"/>
        <v>73</v>
      </c>
      <c r="C75" s="118" t="s">
        <v>201</v>
      </c>
      <c r="D75" s="118">
        <v>34.5</v>
      </c>
      <c r="E75" s="127" t="s">
        <v>89</v>
      </c>
      <c r="F75" s="228">
        <f>'S.E ESCARCEGA'!B20</f>
        <v>0</v>
      </c>
      <c r="G75" s="228">
        <f>'S.E ESCARCEGA'!D20</f>
        <v>0</v>
      </c>
      <c r="H75" s="228">
        <f>'S.E ESCARCEGA'!E20</f>
        <v>0</v>
      </c>
      <c r="I75" s="228">
        <f>'S.E ESCARCEGA'!F20</f>
        <v>0</v>
      </c>
      <c r="J75" s="228">
        <f>'S.E ESCARCEGA'!G20</f>
        <v>1310.712436</v>
      </c>
      <c r="K75" s="228">
        <f>'S.E ESCARCEGA'!H20</f>
        <v>0</v>
      </c>
      <c r="L75" s="228">
        <f>'S.E ESCARCEGA'!I20</f>
        <v>0</v>
      </c>
      <c r="M75" s="228">
        <f>'S.E ESCARCEGA'!J20</f>
        <v>0</v>
      </c>
      <c r="N75" s="228">
        <f>'S.E ESCARCEGA'!K20</f>
        <v>0</v>
      </c>
      <c r="O75" s="228">
        <f>'S.E ESCARCEGA'!L20</f>
        <v>0</v>
      </c>
      <c r="P75" s="228">
        <f>'S.E ESCARCEGA'!M20</f>
        <v>0</v>
      </c>
      <c r="Q75" s="61">
        <f>'S.E ESCARCEGA'!N20</f>
        <v>0</v>
      </c>
      <c r="R75" s="251">
        <f t="shared" si="2"/>
        <v>1310.712436</v>
      </c>
    </row>
    <row r="76" spans="2:18" x14ac:dyDescent="0.25">
      <c r="B76" s="149">
        <f t="shared" si="3"/>
        <v>74</v>
      </c>
      <c r="C76" s="118" t="s">
        <v>201</v>
      </c>
      <c r="D76" s="118">
        <v>34.5</v>
      </c>
      <c r="E76" s="127" t="s">
        <v>90</v>
      </c>
      <c r="F76" s="228" t="e">
        <f>'S.E ESCARCEGA'!B27</f>
        <v>#N/A</v>
      </c>
      <c r="G76" s="228" t="e">
        <f>'S.E ESCARCEGA'!D27</f>
        <v>#N/A</v>
      </c>
      <c r="H76" s="228" t="e">
        <f>'S.E ESCARCEGA'!E27</f>
        <v>#N/A</v>
      </c>
      <c r="I76" s="228" t="e">
        <f>'S.E ESCARCEGA'!F27</f>
        <v>#N/A</v>
      </c>
      <c r="J76" s="228" t="e">
        <f>'S.E ESCARCEGA'!G27</f>
        <v>#N/A</v>
      </c>
      <c r="K76" s="228" t="e">
        <f>'S.E ESCARCEGA'!H27</f>
        <v>#N/A</v>
      </c>
      <c r="L76" s="228" t="e">
        <f>'S.E ESCARCEGA'!I27</f>
        <v>#N/A</v>
      </c>
      <c r="M76" s="228" t="e">
        <f>'S.E ESCARCEGA'!J27</f>
        <v>#N/A</v>
      </c>
      <c r="N76" s="228" t="e">
        <f>'S.E ESCARCEGA'!K27</f>
        <v>#N/A</v>
      </c>
      <c r="O76" s="228" t="e">
        <f>'S.E ESCARCEGA'!L27</f>
        <v>#N/A</v>
      </c>
      <c r="P76" s="228" t="e">
        <f>'S.E ESCARCEGA'!M27</f>
        <v>#N/A</v>
      </c>
      <c r="Q76" s="61" t="e">
        <f>'S.E ESCARCEGA'!N27</f>
        <v>#N/A</v>
      </c>
      <c r="R76" s="251" t="e">
        <f t="shared" si="2"/>
        <v>#N/A</v>
      </c>
    </row>
    <row r="77" spans="2:18" x14ac:dyDescent="0.25">
      <c r="B77" s="149">
        <f t="shared" si="3"/>
        <v>75</v>
      </c>
      <c r="C77" s="118" t="s">
        <v>202</v>
      </c>
      <c r="D77" s="118">
        <v>34.5</v>
      </c>
      <c r="E77" s="128" t="s">
        <v>119</v>
      </c>
      <c r="F77" s="326" t="e">
        <f>'S.E XPUJIL'!B13</f>
        <v>#N/A</v>
      </c>
      <c r="G77" s="326" t="e">
        <f>'S.E XPUJIL'!D13</f>
        <v>#N/A</v>
      </c>
      <c r="H77" s="326" t="e">
        <f>'S.E XPUJIL'!E13</f>
        <v>#N/A</v>
      </c>
      <c r="I77" s="326" t="e">
        <f>'S.E XPUJIL'!F13</f>
        <v>#N/A</v>
      </c>
      <c r="J77" s="326" t="e">
        <f>'S.E XPUJIL'!G13</f>
        <v>#N/A</v>
      </c>
      <c r="K77" s="326" t="e">
        <f>'S.E XPUJIL'!H13</f>
        <v>#N/A</v>
      </c>
      <c r="L77" s="326" t="e">
        <f>'S.E XPUJIL'!I13</f>
        <v>#N/A</v>
      </c>
      <c r="M77" s="326" t="e">
        <f>'S.E XPUJIL'!J13</f>
        <v>#N/A</v>
      </c>
      <c r="N77" s="326" t="e">
        <f>'S.E XPUJIL'!K13</f>
        <v>#N/A</v>
      </c>
      <c r="O77" s="326" t="e">
        <f>'S.E XPUJIL'!L13</f>
        <v>#N/A</v>
      </c>
      <c r="P77" s="326" t="e">
        <f>'S.E XPUJIL'!M13</f>
        <v>#N/A</v>
      </c>
      <c r="Q77" s="160" t="e">
        <f>'S.E XPUJIL'!N13</f>
        <v>#N/A</v>
      </c>
      <c r="R77" s="251" t="e">
        <f t="shared" si="2"/>
        <v>#N/A</v>
      </c>
    </row>
    <row r="78" spans="2:18" x14ac:dyDescent="0.25">
      <c r="B78" s="149">
        <f t="shared" si="3"/>
        <v>76</v>
      </c>
      <c r="C78" s="118" t="s">
        <v>202</v>
      </c>
      <c r="D78" s="118">
        <v>34.5</v>
      </c>
      <c r="E78" s="128" t="s">
        <v>164</v>
      </c>
      <c r="F78" s="326" t="e">
        <f>'S.E XPUJIL'!B20</f>
        <v>#N/A</v>
      </c>
      <c r="G78" s="326" t="e">
        <f>'S.E XPUJIL'!D20</f>
        <v>#N/A</v>
      </c>
      <c r="H78" s="326" t="e">
        <f>'S.E XPUJIL'!E20</f>
        <v>#N/A</v>
      </c>
      <c r="I78" s="326" t="e">
        <f>'S.E XPUJIL'!F20</f>
        <v>#N/A</v>
      </c>
      <c r="J78" s="326" t="e">
        <f>'S.E XPUJIL'!G20</f>
        <v>#N/A</v>
      </c>
      <c r="K78" s="326" t="e">
        <f>'S.E XPUJIL'!H20</f>
        <v>#N/A</v>
      </c>
      <c r="L78" s="326" t="e">
        <f>'S.E XPUJIL'!I20</f>
        <v>#N/A</v>
      </c>
      <c r="M78" s="326" t="e">
        <f>'S.E XPUJIL'!J20</f>
        <v>#N/A</v>
      </c>
      <c r="N78" s="326" t="e">
        <f>'S.E XPUJIL'!K20</f>
        <v>#N/A</v>
      </c>
      <c r="O78" s="326" t="e">
        <f>'S.E XPUJIL'!L20</f>
        <v>#N/A</v>
      </c>
      <c r="P78" s="326" t="e">
        <f>'S.E XPUJIL'!M20</f>
        <v>#N/A</v>
      </c>
      <c r="Q78" s="160" t="e">
        <f>'S.E XPUJIL'!N20</f>
        <v>#N/A</v>
      </c>
      <c r="R78" s="251" t="e">
        <f t="shared" si="2"/>
        <v>#N/A</v>
      </c>
    </row>
    <row r="79" spans="2:18" x14ac:dyDescent="0.25">
      <c r="B79" s="149">
        <f t="shared" si="3"/>
        <v>77</v>
      </c>
      <c r="C79" s="118" t="s">
        <v>202</v>
      </c>
      <c r="D79" s="118">
        <v>34.5</v>
      </c>
      <c r="E79" s="128" t="s">
        <v>120</v>
      </c>
      <c r="F79" s="326" t="e">
        <f>'S.E XPUJIL'!B27</f>
        <v>#N/A</v>
      </c>
      <c r="G79" s="326" t="e">
        <f>'S.E XPUJIL'!D27</f>
        <v>#N/A</v>
      </c>
      <c r="H79" s="326" t="e">
        <f>'S.E XPUJIL'!E27</f>
        <v>#N/A</v>
      </c>
      <c r="I79" s="326" t="e">
        <f>'S.E XPUJIL'!F27</f>
        <v>#N/A</v>
      </c>
      <c r="J79" s="326" t="e">
        <f>'S.E XPUJIL'!G27</f>
        <v>#N/A</v>
      </c>
      <c r="K79" s="326" t="e">
        <f>'S.E XPUJIL'!H27</f>
        <v>#N/A</v>
      </c>
      <c r="L79" s="326" t="e">
        <f>'S.E XPUJIL'!I27</f>
        <v>#N/A</v>
      </c>
      <c r="M79" s="326" t="e">
        <f>'S.E XPUJIL'!J27</f>
        <v>#N/A</v>
      </c>
      <c r="N79" s="326" t="e">
        <f>'S.E XPUJIL'!K27</f>
        <v>#N/A</v>
      </c>
      <c r="O79" s="326" t="e">
        <f>'S.E XPUJIL'!L27</f>
        <v>#N/A</v>
      </c>
      <c r="P79" s="326" t="e">
        <f>'S.E XPUJIL'!M27</f>
        <v>#N/A</v>
      </c>
      <c r="Q79" s="160" t="e">
        <f>'S.E XPUJIL'!N27</f>
        <v>#N/A</v>
      </c>
      <c r="R79" s="251" t="e">
        <f t="shared" si="2"/>
        <v>#N/A</v>
      </c>
    </row>
    <row r="80" spans="2:18" x14ac:dyDescent="0.25">
      <c r="B80" s="149">
        <f t="shared" si="3"/>
        <v>78</v>
      </c>
      <c r="C80" s="118" t="s">
        <v>202</v>
      </c>
      <c r="D80" s="118">
        <v>34.5</v>
      </c>
      <c r="E80" s="128" t="s">
        <v>121</v>
      </c>
      <c r="F80" s="326" t="e">
        <f>'S.E XPUJIL'!B34</f>
        <v>#N/A</v>
      </c>
      <c r="G80" s="326" t="e">
        <f>'S.E XPUJIL'!D34</f>
        <v>#N/A</v>
      </c>
      <c r="H80" s="326" t="e">
        <f>'S.E XPUJIL'!E34</f>
        <v>#N/A</v>
      </c>
      <c r="I80" s="326" t="e">
        <f>'S.E XPUJIL'!F34</f>
        <v>#N/A</v>
      </c>
      <c r="J80" s="326" t="e">
        <f>'S.E XPUJIL'!G34</f>
        <v>#N/A</v>
      </c>
      <c r="K80" s="326" t="e">
        <f>'S.E XPUJIL'!H34</f>
        <v>#N/A</v>
      </c>
      <c r="L80" s="326" t="e">
        <f>'S.E XPUJIL'!I34</f>
        <v>#N/A</v>
      </c>
      <c r="M80" s="326" t="e">
        <f>'S.E XPUJIL'!J34</f>
        <v>#N/A</v>
      </c>
      <c r="N80" s="326" t="e">
        <f>'S.E XPUJIL'!K34</f>
        <v>#N/A</v>
      </c>
      <c r="O80" s="326" t="e">
        <f>'S.E XPUJIL'!L34</f>
        <v>#N/A</v>
      </c>
      <c r="P80" s="326" t="e">
        <f>'S.E XPUJIL'!M34</f>
        <v>#N/A</v>
      </c>
      <c r="Q80" s="160" t="e">
        <f>'S.E XPUJIL'!N34</f>
        <v>#N/A</v>
      </c>
      <c r="R80" s="251" t="e">
        <f t="shared" si="2"/>
        <v>#N/A</v>
      </c>
    </row>
    <row r="81" spans="2:18" x14ac:dyDescent="0.25">
      <c r="B81" s="149">
        <f t="shared" si="3"/>
        <v>79</v>
      </c>
      <c r="C81" s="118" t="s">
        <v>203</v>
      </c>
      <c r="D81" s="118">
        <v>13.8</v>
      </c>
      <c r="E81" s="127" t="s">
        <v>35</v>
      </c>
      <c r="F81" s="228">
        <f>'S.E SAMUEL'!B13</f>
        <v>0</v>
      </c>
      <c r="G81" s="228">
        <f>'S.E SAMUEL'!D13</f>
        <v>0</v>
      </c>
      <c r="H81" s="228">
        <f>'S.E SAMUEL'!E13</f>
        <v>0</v>
      </c>
      <c r="I81" s="228">
        <f>'S.E SAMUEL'!F13</f>
        <v>0</v>
      </c>
      <c r="J81" s="228">
        <f>'S.E SAMUEL'!G13</f>
        <v>-1</v>
      </c>
      <c r="K81" s="228">
        <f>'S.E SAMUEL'!H13</f>
        <v>0</v>
      </c>
      <c r="L81" s="228">
        <f>'S.E SAMUEL'!I13</f>
        <v>0</v>
      </c>
      <c r="M81" s="228">
        <f>'S.E SAMUEL'!J13</f>
        <v>0</v>
      </c>
      <c r="N81" s="228">
        <f>'S.E SAMUEL'!K13</f>
        <v>0</v>
      </c>
      <c r="O81" s="228">
        <f>'S.E SAMUEL'!L13</f>
        <v>0</v>
      </c>
      <c r="P81" s="228">
        <f>'S.E SAMUEL'!M13</f>
        <v>0</v>
      </c>
      <c r="Q81" s="145">
        <f>'S.E SAMUEL'!N13</f>
        <v>0</v>
      </c>
      <c r="R81" s="251">
        <f t="shared" si="2"/>
        <v>0</v>
      </c>
    </row>
    <row r="82" spans="2:18" x14ac:dyDescent="0.25">
      <c r="B82" s="149">
        <f t="shared" si="3"/>
        <v>80</v>
      </c>
      <c r="C82" s="118" t="s">
        <v>203</v>
      </c>
      <c r="D82" s="118">
        <v>13.8</v>
      </c>
      <c r="E82" s="127" t="s">
        <v>34</v>
      </c>
      <c r="F82" s="228">
        <f>'S.E SAMUEL'!B20</f>
        <v>0</v>
      </c>
      <c r="G82" s="228">
        <f>'S.E SAMUEL'!D20</f>
        <v>0</v>
      </c>
      <c r="H82" s="228">
        <f>'S.E SAMUEL'!E20</f>
        <v>0</v>
      </c>
      <c r="I82" s="228">
        <f>'S.E SAMUEL'!F20</f>
        <v>0</v>
      </c>
      <c r="J82" s="228">
        <f>'S.E SAMUEL'!G20</f>
        <v>-1</v>
      </c>
      <c r="K82" s="228">
        <f>'S.E SAMUEL'!H20</f>
        <v>0</v>
      </c>
      <c r="L82" s="228">
        <f>'S.E SAMUEL'!I20</f>
        <v>0</v>
      </c>
      <c r="M82" s="228">
        <f>'S.E SAMUEL'!J20</f>
        <v>0</v>
      </c>
      <c r="N82" s="228">
        <f>'S.E SAMUEL'!K20</f>
        <v>0</v>
      </c>
      <c r="O82" s="228">
        <f>'S.E SAMUEL'!L20</f>
        <v>0</v>
      </c>
      <c r="P82" s="228">
        <f>'S.E SAMUEL'!M20</f>
        <v>0</v>
      </c>
      <c r="Q82" s="145">
        <f>'S.E SAMUEL'!N20</f>
        <v>0</v>
      </c>
      <c r="R82" s="251">
        <f t="shared" si="2"/>
        <v>0</v>
      </c>
    </row>
    <row r="83" spans="2:18" x14ac:dyDescent="0.25">
      <c r="B83" s="149">
        <f t="shared" si="3"/>
        <v>81</v>
      </c>
      <c r="C83" s="118" t="s">
        <v>203</v>
      </c>
      <c r="D83" s="118">
        <v>13.8</v>
      </c>
      <c r="E83" s="127" t="s">
        <v>36</v>
      </c>
      <c r="F83" s="228">
        <f>'S.E SAMUEL'!B27</f>
        <v>0</v>
      </c>
      <c r="G83" s="228">
        <f>'S.E SAMUEL'!D27</f>
        <v>0</v>
      </c>
      <c r="H83" s="228">
        <f>'S.E SAMUEL'!E27</f>
        <v>0</v>
      </c>
      <c r="I83" s="228">
        <f>'S.E SAMUEL'!F27</f>
        <v>0</v>
      </c>
      <c r="J83" s="228">
        <f>'S.E SAMUEL'!G27</f>
        <v>-1</v>
      </c>
      <c r="K83" s="228">
        <f>'S.E SAMUEL'!H27</f>
        <v>0</v>
      </c>
      <c r="L83" s="228">
        <f>'S.E SAMUEL'!I27</f>
        <v>0</v>
      </c>
      <c r="M83" s="228">
        <f>'S.E SAMUEL'!J27</f>
        <v>0</v>
      </c>
      <c r="N83" s="228">
        <f>'S.E SAMUEL'!K27</f>
        <v>0</v>
      </c>
      <c r="O83" s="228">
        <f>'S.E SAMUEL'!L27</f>
        <v>0</v>
      </c>
      <c r="P83" s="228">
        <f>'S.E SAMUEL'!M27</f>
        <v>0</v>
      </c>
      <c r="Q83" s="145">
        <f>'S.E SAMUEL'!N27</f>
        <v>0</v>
      </c>
      <c r="R83" s="251">
        <f t="shared" si="2"/>
        <v>0</v>
      </c>
    </row>
    <row r="84" spans="2:18" x14ac:dyDescent="0.25">
      <c r="B84" s="149">
        <f t="shared" si="3"/>
        <v>82</v>
      </c>
      <c r="C84" s="149" t="s">
        <v>200</v>
      </c>
      <c r="D84" s="118">
        <v>34.5</v>
      </c>
      <c r="E84" s="314" t="s">
        <v>382</v>
      </c>
      <c r="F84" s="228">
        <f>'S.E HOPELCHEN DOS'!B13</f>
        <v>0</v>
      </c>
      <c r="G84" s="228">
        <f>'S.E HOPELCHEN DOS'!D13</f>
        <v>0</v>
      </c>
      <c r="H84" s="228">
        <f>'S.E HOPELCHEN DOS'!E13</f>
        <v>0</v>
      </c>
      <c r="I84" s="228">
        <f>'S.E HOPELCHEN DOS'!F13</f>
        <v>0</v>
      </c>
      <c r="J84" s="228">
        <f>'S.E HOPELCHEN DOS'!G13</f>
        <v>7801.3666990000002</v>
      </c>
      <c r="K84" s="228">
        <f>'S.E HOPELCHEN DOS'!H13</f>
        <v>0</v>
      </c>
      <c r="L84" s="228">
        <f>'S.E HOPELCHEN DOS'!I13</f>
        <v>0</v>
      </c>
      <c r="M84" s="228">
        <f>'S.E HOPELCHEN DOS'!J13</f>
        <v>0</v>
      </c>
      <c r="N84" s="228">
        <f>'S.E HOPELCHEN DOS'!K13</f>
        <v>0</v>
      </c>
      <c r="O84" s="228">
        <f>'S.E HOPELCHEN DOS'!L13</f>
        <v>0</v>
      </c>
      <c r="P84" s="228">
        <f>'S.E HOPELCHEN DOS'!M13</f>
        <v>0</v>
      </c>
      <c r="Q84" s="145">
        <f>'S.E HOPELCHEN DOS'!N13</f>
        <v>0</v>
      </c>
      <c r="R84" s="251">
        <f t="shared" si="2"/>
        <v>7801.3666990000002</v>
      </c>
    </row>
    <row r="85" spans="2:18" x14ac:dyDescent="0.25">
      <c r="B85" s="149">
        <f t="shared" si="3"/>
        <v>83</v>
      </c>
      <c r="C85" s="149" t="s">
        <v>200</v>
      </c>
      <c r="D85" s="118">
        <v>34.5</v>
      </c>
      <c r="E85" s="314" t="s">
        <v>381</v>
      </c>
      <c r="F85" s="228" t="e">
        <f>'S.E HOPELCHEN DOS'!B20</f>
        <v>#N/A</v>
      </c>
      <c r="G85" s="228" t="e">
        <f>'S.E HOPELCHEN DOS'!D20</f>
        <v>#N/A</v>
      </c>
      <c r="H85" s="228" t="e">
        <f>'S.E HOPELCHEN DOS'!E20</f>
        <v>#N/A</v>
      </c>
      <c r="I85" s="228" t="e">
        <f>'S.E HOPELCHEN DOS'!F20</f>
        <v>#N/A</v>
      </c>
      <c r="J85" s="228" t="e">
        <f>'S.E HOPELCHEN DOS'!G20</f>
        <v>#N/A</v>
      </c>
      <c r="K85" s="228" t="e">
        <f>'S.E HOPELCHEN DOS'!H20</f>
        <v>#N/A</v>
      </c>
      <c r="L85" s="228" t="e">
        <f>'S.E HOPELCHEN DOS'!I20</f>
        <v>#N/A</v>
      </c>
      <c r="M85" s="228" t="e">
        <f>'S.E HOPELCHEN DOS'!J20</f>
        <v>#N/A</v>
      </c>
      <c r="N85" s="228" t="e">
        <f>'S.E HOPELCHEN DOS'!K20</f>
        <v>#N/A</v>
      </c>
      <c r="O85" s="228" t="e">
        <f>'S.E HOPELCHEN DOS'!L20</f>
        <v>#N/A</v>
      </c>
      <c r="P85" s="228" t="e">
        <f>'S.E HOPELCHEN DOS'!M20</f>
        <v>#N/A</v>
      </c>
      <c r="Q85" s="145" t="e">
        <f>'S.E HOPELCHEN DOS'!N20</f>
        <v>#N/A</v>
      </c>
      <c r="R85" s="251" t="e">
        <f t="shared" si="2"/>
        <v>#N/A</v>
      </c>
    </row>
    <row r="86" spans="2:18" x14ac:dyDescent="0.25">
      <c r="B86" s="149">
        <f t="shared" si="3"/>
        <v>84</v>
      </c>
      <c r="C86" s="149" t="s">
        <v>203</v>
      </c>
      <c r="D86" s="118">
        <v>34.5</v>
      </c>
      <c r="E86" s="315" t="s">
        <v>383</v>
      </c>
      <c r="F86" s="327">
        <f>'S.E CANDELARIA DOS'!B13</f>
        <v>0</v>
      </c>
      <c r="G86" s="327">
        <f>'S.E CANDELARIA DOS'!D13</f>
        <v>0</v>
      </c>
      <c r="H86" s="327">
        <f>'S.E CANDELARIA DOS'!E13</f>
        <v>0</v>
      </c>
      <c r="I86" s="327">
        <f>'S.E CANDELARIA DOS'!F13</f>
        <v>0</v>
      </c>
      <c r="J86" s="327">
        <f>'S.E CANDELARIA DOS'!G13</f>
        <v>8633.9152009999998</v>
      </c>
      <c r="K86" s="327">
        <f>'S.E CANDELARIA DOS'!H13</f>
        <v>0</v>
      </c>
      <c r="L86" s="327">
        <f>'S.E CANDELARIA DOS'!I13</f>
        <v>0</v>
      </c>
      <c r="M86" s="327">
        <f>'S.E CANDELARIA DOS'!J13</f>
        <v>0</v>
      </c>
      <c r="N86" s="327">
        <f>'S.E CANDELARIA DOS'!K13</f>
        <v>0</v>
      </c>
      <c r="O86" s="327">
        <f>'S.E CANDELARIA DOS'!L13</f>
        <v>0</v>
      </c>
      <c r="P86" s="327">
        <f>'S.E CANDELARIA DOS'!M13</f>
        <v>0</v>
      </c>
      <c r="Q86" s="46">
        <f>'S.E CANDELARIA DOS'!N13</f>
        <v>0</v>
      </c>
      <c r="R86" s="251">
        <f t="shared" si="2"/>
        <v>8633.9152009999998</v>
      </c>
    </row>
    <row r="87" spans="2:18" x14ac:dyDescent="0.25">
      <c r="B87" s="149">
        <f t="shared" si="3"/>
        <v>85</v>
      </c>
      <c r="C87" s="149" t="s">
        <v>203</v>
      </c>
      <c r="D87" s="118">
        <v>34.5</v>
      </c>
      <c r="E87" s="315" t="s">
        <v>384</v>
      </c>
      <c r="F87" s="327">
        <f>'S.E CANDELARIA DOS'!B20</f>
        <v>0</v>
      </c>
      <c r="G87" s="327">
        <f>'S.E CANDELARIA DOS'!D20</f>
        <v>0</v>
      </c>
      <c r="H87" s="327">
        <f>'S.E CANDELARIA DOS'!E20</f>
        <v>0</v>
      </c>
      <c r="I87" s="327">
        <f>'S.E CANDELARIA DOS'!F20</f>
        <v>0</v>
      </c>
      <c r="J87" s="327">
        <f>'S.E CANDELARIA DOS'!G20</f>
        <v>1891.245015</v>
      </c>
      <c r="K87" s="327">
        <f>'S.E CANDELARIA DOS'!H20</f>
        <v>0</v>
      </c>
      <c r="L87" s="327">
        <f>'S.E CANDELARIA DOS'!I20</f>
        <v>0</v>
      </c>
      <c r="M87" s="327">
        <f>'S.E CANDELARIA DOS'!J20</f>
        <v>0</v>
      </c>
      <c r="N87" s="327">
        <f>'S.E CANDELARIA DOS'!K20</f>
        <v>0</v>
      </c>
      <c r="O87" s="327">
        <f>'S.E CANDELARIA DOS'!L20</f>
        <v>0</v>
      </c>
      <c r="P87" s="327">
        <f>'S.E CANDELARIA DOS'!M20</f>
        <v>0</v>
      </c>
      <c r="Q87" s="46">
        <f>'S.E CANDELARIA DOS'!N20</f>
        <v>0</v>
      </c>
      <c r="R87" s="251">
        <f>MAX(F87:Q87)</f>
        <v>1891.245015</v>
      </c>
    </row>
  </sheetData>
  <pageMargins left="0.7" right="0.7" top="0.75" bottom="0.75" header="0.3" footer="0.3"/>
  <pageSetup orientation="portrait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4:T138"/>
  <sheetViews>
    <sheetView zoomScaleNormal="100" workbookViewId="0">
      <selection activeCell="E91" sqref="E91"/>
    </sheetView>
  </sheetViews>
  <sheetFormatPr baseColWidth="10" defaultColWidth="20.6640625" defaultRowHeight="13.2" x14ac:dyDescent="0.25"/>
  <cols>
    <col min="1" max="1" width="20.6640625" customWidth="1"/>
    <col min="2" max="2" width="23.33203125" bestFit="1" customWidth="1"/>
    <col min="3" max="3" width="23.33203125" customWidth="1"/>
    <col min="4" max="4" width="23.109375" style="123" customWidth="1"/>
    <col min="5" max="5" width="22.6640625" customWidth="1"/>
    <col min="10" max="10" width="23.109375" bestFit="1" customWidth="1"/>
    <col min="11" max="11" width="24.6640625" customWidth="1"/>
    <col min="12" max="12" width="29.33203125" bestFit="1" customWidth="1"/>
    <col min="13" max="13" width="24" bestFit="1" customWidth="1"/>
    <col min="14" max="14" width="22.88671875" bestFit="1" customWidth="1"/>
    <col min="18" max="18" width="24.88671875" customWidth="1"/>
    <col min="20" max="20" width="23.5546875" bestFit="1" customWidth="1"/>
  </cols>
  <sheetData>
    <row r="4" spans="2:15" ht="14.4" x14ac:dyDescent="0.25">
      <c r="B4" s="156" t="s">
        <v>70</v>
      </c>
      <c r="C4" s="156" t="s">
        <v>275</v>
      </c>
      <c r="D4" s="157" t="s">
        <v>71</v>
      </c>
      <c r="E4" s="156" t="s">
        <v>72</v>
      </c>
      <c r="F4" s="156" t="s">
        <v>279</v>
      </c>
      <c r="G4" s="156" t="s">
        <v>163</v>
      </c>
      <c r="H4" s="156" t="s">
        <v>358</v>
      </c>
      <c r="I4" s="156" t="s">
        <v>280</v>
      </c>
      <c r="J4" s="156" t="s">
        <v>188</v>
      </c>
      <c r="K4" s="156" t="s">
        <v>174</v>
      </c>
      <c r="L4" s="156" t="s">
        <v>190</v>
      </c>
      <c r="M4" s="218" t="s">
        <v>312</v>
      </c>
      <c r="N4" s="155" t="s">
        <v>154</v>
      </c>
      <c r="O4" s="172" t="s">
        <v>298</v>
      </c>
    </row>
    <row r="5" spans="2:15" x14ac:dyDescent="0.25">
      <c r="B5" s="118">
        <v>1</v>
      </c>
      <c r="C5" s="194" t="s">
        <v>198</v>
      </c>
      <c r="D5" s="148" t="s">
        <v>104</v>
      </c>
      <c r="E5" s="141" t="s">
        <v>122</v>
      </c>
      <c r="F5" s="158" t="s">
        <v>94</v>
      </c>
      <c r="G5" s="158" t="s">
        <v>172</v>
      </c>
      <c r="H5" s="158" t="s">
        <v>354</v>
      </c>
      <c r="I5" s="158" t="s">
        <v>172</v>
      </c>
      <c r="J5" s="157" t="s">
        <v>173</v>
      </c>
      <c r="K5" s="157" t="s">
        <v>173</v>
      </c>
      <c r="L5" s="156" t="s">
        <v>189</v>
      </c>
      <c r="M5" s="229">
        <v>5</v>
      </c>
      <c r="N5" s="118">
        <v>0.99</v>
      </c>
      <c r="O5" s="216">
        <v>8698</v>
      </c>
    </row>
    <row r="6" spans="2:15" x14ac:dyDescent="0.25">
      <c r="B6" s="118">
        <f>B5+1</f>
        <v>2</v>
      </c>
      <c r="C6" s="194" t="s">
        <v>198</v>
      </c>
      <c r="D6" s="148" t="s">
        <v>105</v>
      </c>
      <c r="E6" s="141" t="s">
        <v>122</v>
      </c>
      <c r="F6" s="158" t="s">
        <v>94</v>
      </c>
      <c r="G6" s="158" t="s">
        <v>172</v>
      </c>
      <c r="H6" s="158" t="s">
        <v>354</v>
      </c>
      <c r="I6" s="158" t="s">
        <v>173</v>
      </c>
      <c r="J6" s="157" t="s">
        <v>173</v>
      </c>
      <c r="K6" s="157" t="s">
        <v>173</v>
      </c>
      <c r="L6" s="156" t="s">
        <v>189</v>
      </c>
      <c r="M6" s="229">
        <v>8</v>
      </c>
      <c r="N6" s="118">
        <v>0.98</v>
      </c>
      <c r="O6" s="216">
        <v>1876</v>
      </c>
    </row>
    <row r="7" spans="2:15" x14ac:dyDescent="0.25">
      <c r="B7" s="118">
        <f t="shared" ref="B7:B71" si="0">B6+1</f>
        <v>3</v>
      </c>
      <c r="C7" s="194" t="s">
        <v>198</v>
      </c>
      <c r="D7" s="148" t="s">
        <v>106</v>
      </c>
      <c r="E7" s="141" t="s">
        <v>122</v>
      </c>
      <c r="F7" s="158" t="s">
        <v>94</v>
      </c>
      <c r="G7" s="158" t="s">
        <v>172</v>
      </c>
      <c r="H7" s="158" t="s">
        <v>354</v>
      </c>
      <c r="I7" s="158" t="s">
        <v>173</v>
      </c>
      <c r="J7" s="157" t="s">
        <v>173</v>
      </c>
      <c r="K7" s="157" t="s">
        <v>173</v>
      </c>
      <c r="L7" s="156" t="s">
        <v>189</v>
      </c>
      <c r="M7" s="229">
        <v>6</v>
      </c>
      <c r="N7" s="118">
        <v>0.99</v>
      </c>
      <c r="O7" s="216">
        <v>5808</v>
      </c>
    </row>
    <row r="8" spans="2:15" x14ac:dyDescent="0.25">
      <c r="B8" s="118">
        <f t="shared" si="0"/>
        <v>4</v>
      </c>
      <c r="C8" s="194" t="s">
        <v>198</v>
      </c>
      <c r="D8" s="148" t="s">
        <v>107</v>
      </c>
      <c r="E8" s="141" t="s">
        <v>122</v>
      </c>
      <c r="F8" s="158" t="s">
        <v>94</v>
      </c>
      <c r="G8" s="158" t="s">
        <v>172</v>
      </c>
      <c r="H8" s="158" t="s">
        <v>354</v>
      </c>
      <c r="I8" s="158" t="s">
        <v>172</v>
      </c>
      <c r="J8" s="157" t="s">
        <v>173</v>
      </c>
      <c r="K8" s="157" t="s">
        <v>173</v>
      </c>
      <c r="L8" s="156" t="s">
        <v>189</v>
      </c>
      <c r="M8" s="229">
        <v>8</v>
      </c>
      <c r="N8" s="118">
        <v>0.99</v>
      </c>
      <c r="O8" s="216">
        <v>5791</v>
      </c>
    </row>
    <row r="9" spans="2:15" x14ac:dyDescent="0.25">
      <c r="B9" s="118">
        <f t="shared" si="0"/>
        <v>5</v>
      </c>
      <c r="C9" s="194" t="s">
        <v>198</v>
      </c>
      <c r="D9" s="148" t="s">
        <v>93</v>
      </c>
      <c r="E9" s="141" t="s">
        <v>122</v>
      </c>
      <c r="F9" s="158" t="s">
        <v>94</v>
      </c>
      <c r="G9" s="158" t="s">
        <v>172</v>
      </c>
      <c r="H9" s="158" t="s">
        <v>354</v>
      </c>
      <c r="I9" s="158" t="s">
        <v>173</v>
      </c>
      <c r="J9" s="156" t="s">
        <v>172</v>
      </c>
      <c r="K9" s="156" t="s">
        <v>173</v>
      </c>
      <c r="L9" s="156" t="s">
        <v>189</v>
      </c>
      <c r="M9" s="225">
        <v>18</v>
      </c>
      <c r="N9" s="118">
        <v>0.97</v>
      </c>
      <c r="O9" s="216">
        <v>3558</v>
      </c>
    </row>
    <row r="10" spans="2:15" x14ac:dyDescent="0.25">
      <c r="B10" s="118">
        <f t="shared" si="0"/>
        <v>6</v>
      </c>
      <c r="C10" s="194" t="s">
        <v>198</v>
      </c>
      <c r="D10" s="148" t="s">
        <v>95</v>
      </c>
      <c r="E10" s="141" t="s">
        <v>122</v>
      </c>
      <c r="F10" s="158" t="s">
        <v>94</v>
      </c>
      <c r="G10" s="158" t="s">
        <v>172</v>
      </c>
      <c r="H10" s="158" t="s">
        <v>354</v>
      </c>
      <c r="I10" s="158" t="s">
        <v>173</v>
      </c>
      <c r="J10" s="157" t="s">
        <v>173</v>
      </c>
      <c r="K10" s="156" t="s">
        <v>173</v>
      </c>
      <c r="L10" s="156" t="s">
        <v>189</v>
      </c>
      <c r="M10" s="225">
        <v>5</v>
      </c>
      <c r="N10" s="118">
        <v>0.98</v>
      </c>
      <c r="O10" s="216">
        <v>6274</v>
      </c>
    </row>
    <row r="11" spans="2:15" x14ac:dyDescent="0.25">
      <c r="B11" s="118">
        <f t="shared" si="0"/>
        <v>7</v>
      </c>
      <c r="C11" s="194" t="s">
        <v>198</v>
      </c>
      <c r="D11" s="148" t="s">
        <v>96</v>
      </c>
      <c r="E11" s="141" t="s">
        <v>122</v>
      </c>
      <c r="F11" s="158" t="s">
        <v>94</v>
      </c>
      <c r="G11" s="158" t="s">
        <v>172</v>
      </c>
      <c r="H11" s="158" t="s">
        <v>354</v>
      </c>
      <c r="I11" s="158" t="s">
        <v>172</v>
      </c>
      <c r="J11" s="156" t="s">
        <v>173</v>
      </c>
      <c r="K11" s="156" t="s">
        <v>173</v>
      </c>
      <c r="L11" s="156" t="s">
        <v>189</v>
      </c>
      <c r="M11" s="226">
        <v>11</v>
      </c>
      <c r="N11" s="118">
        <v>0.99</v>
      </c>
      <c r="O11" s="216">
        <v>8579</v>
      </c>
    </row>
    <row r="12" spans="2:15" x14ac:dyDescent="0.25">
      <c r="B12" s="118">
        <f t="shared" si="0"/>
        <v>8</v>
      </c>
      <c r="C12" s="194" t="s">
        <v>198</v>
      </c>
      <c r="D12" s="148" t="s">
        <v>108</v>
      </c>
      <c r="E12" s="141" t="s">
        <v>122</v>
      </c>
      <c r="F12" s="215" t="s">
        <v>94</v>
      </c>
      <c r="G12" s="215" t="s">
        <v>172</v>
      </c>
      <c r="H12" s="159" t="s">
        <v>355</v>
      </c>
      <c r="I12" s="215" t="s">
        <v>173</v>
      </c>
      <c r="J12" s="156" t="s">
        <v>172</v>
      </c>
      <c r="K12" s="156" t="s">
        <v>173</v>
      </c>
      <c r="L12" s="155" t="s">
        <v>189</v>
      </c>
      <c r="M12" s="229">
        <v>22</v>
      </c>
      <c r="N12" s="118">
        <v>0.98</v>
      </c>
      <c r="O12" s="216">
        <v>3279</v>
      </c>
    </row>
    <row r="13" spans="2:15" x14ac:dyDescent="0.25">
      <c r="B13" s="118">
        <f t="shared" si="0"/>
        <v>9</v>
      </c>
      <c r="C13" s="194" t="s">
        <v>198</v>
      </c>
      <c r="D13" s="148" t="s">
        <v>97</v>
      </c>
      <c r="E13" s="141" t="s">
        <v>122</v>
      </c>
      <c r="F13" s="158" t="s">
        <v>94</v>
      </c>
      <c r="G13" s="158" t="s">
        <v>172</v>
      </c>
      <c r="H13" s="158" t="s">
        <v>354</v>
      </c>
      <c r="I13" s="158" t="s">
        <v>173</v>
      </c>
      <c r="J13" s="156" t="s">
        <v>173</v>
      </c>
      <c r="K13" s="156" t="s">
        <v>173</v>
      </c>
      <c r="L13" s="156" t="s">
        <v>189</v>
      </c>
      <c r="M13" s="226">
        <v>6</v>
      </c>
      <c r="N13" s="189">
        <v>0.99</v>
      </c>
      <c r="O13" s="216">
        <v>3461</v>
      </c>
    </row>
    <row r="14" spans="2:15" x14ac:dyDescent="0.25">
      <c r="B14" s="118">
        <f t="shared" si="0"/>
        <v>10</v>
      </c>
      <c r="C14" s="194" t="s">
        <v>198</v>
      </c>
      <c r="D14" s="148" t="s">
        <v>98</v>
      </c>
      <c r="E14" s="141" t="s">
        <v>122</v>
      </c>
      <c r="F14" s="158" t="s">
        <v>94</v>
      </c>
      <c r="G14" s="158" t="s">
        <v>172</v>
      </c>
      <c r="H14" s="158" t="s">
        <v>354</v>
      </c>
      <c r="I14" s="158" t="s">
        <v>172</v>
      </c>
      <c r="J14" s="157" t="s">
        <v>173</v>
      </c>
      <c r="K14" s="156" t="s">
        <v>173</v>
      </c>
      <c r="L14" s="156" t="s">
        <v>189</v>
      </c>
      <c r="M14" s="225">
        <v>11</v>
      </c>
      <c r="N14" s="118">
        <v>0.99</v>
      </c>
      <c r="O14" s="216">
        <v>6300</v>
      </c>
    </row>
    <row r="15" spans="2:15" x14ac:dyDescent="0.25">
      <c r="B15" s="118">
        <f t="shared" si="0"/>
        <v>11</v>
      </c>
      <c r="C15" s="194" t="s">
        <v>198</v>
      </c>
      <c r="D15" s="148" t="s">
        <v>99</v>
      </c>
      <c r="E15" s="141" t="s">
        <v>122</v>
      </c>
      <c r="F15" s="158" t="s">
        <v>94</v>
      </c>
      <c r="G15" s="158" t="s">
        <v>172</v>
      </c>
      <c r="H15" s="158" t="s">
        <v>354</v>
      </c>
      <c r="I15" s="158" t="s">
        <v>172</v>
      </c>
      <c r="J15" s="157" t="s">
        <v>173</v>
      </c>
      <c r="K15" s="156" t="s">
        <v>173</v>
      </c>
      <c r="L15" s="156" t="s">
        <v>189</v>
      </c>
      <c r="M15" s="225">
        <v>11</v>
      </c>
      <c r="N15" s="118">
        <v>0.99</v>
      </c>
      <c r="O15" s="216">
        <v>6455</v>
      </c>
    </row>
    <row r="16" spans="2:15" x14ac:dyDescent="0.25">
      <c r="B16" s="118">
        <f t="shared" si="0"/>
        <v>12</v>
      </c>
      <c r="C16" s="194" t="s">
        <v>198</v>
      </c>
      <c r="D16" s="148" t="s">
        <v>100</v>
      </c>
      <c r="E16" s="141" t="s">
        <v>122</v>
      </c>
      <c r="F16" s="158" t="s">
        <v>94</v>
      </c>
      <c r="G16" s="158" t="s">
        <v>172</v>
      </c>
      <c r="H16" s="158" t="s">
        <v>354</v>
      </c>
      <c r="I16" s="158" t="s">
        <v>172</v>
      </c>
      <c r="J16" s="157" t="s">
        <v>173</v>
      </c>
      <c r="K16" s="156" t="s">
        <v>173</v>
      </c>
      <c r="L16" s="156" t="s">
        <v>189</v>
      </c>
      <c r="M16" s="225">
        <v>5</v>
      </c>
      <c r="N16" s="191">
        <v>0.96</v>
      </c>
      <c r="O16" s="216">
        <v>5352</v>
      </c>
    </row>
    <row r="17" spans="2:15" x14ac:dyDescent="0.25">
      <c r="B17" s="118">
        <f t="shared" si="0"/>
        <v>13</v>
      </c>
      <c r="C17" s="194" t="s">
        <v>198</v>
      </c>
      <c r="D17" s="148" t="s">
        <v>101</v>
      </c>
      <c r="E17" s="141" t="s">
        <v>122</v>
      </c>
      <c r="F17" s="158" t="s">
        <v>94</v>
      </c>
      <c r="G17" s="158" t="s">
        <v>172</v>
      </c>
      <c r="H17" s="158" t="s">
        <v>354</v>
      </c>
      <c r="I17" s="158" t="s">
        <v>173</v>
      </c>
      <c r="J17" s="156" t="s">
        <v>173</v>
      </c>
      <c r="K17" s="156" t="s">
        <v>173</v>
      </c>
      <c r="L17" s="156" t="s">
        <v>189</v>
      </c>
      <c r="M17" s="225">
        <v>8</v>
      </c>
      <c r="N17" s="189">
        <v>0.98</v>
      </c>
      <c r="O17" s="216">
        <v>1215</v>
      </c>
    </row>
    <row r="18" spans="2:15" x14ac:dyDescent="0.25">
      <c r="B18" s="118">
        <f t="shared" si="0"/>
        <v>14</v>
      </c>
      <c r="C18" s="194" t="s">
        <v>198</v>
      </c>
      <c r="D18" s="148" t="s">
        <v>102</v>
      </c>
      <c r="E18" s="141" t="s">
        <v>122</v>
      </c>
      <c r="F18" s="158" t="s">
        <v>94</v>
      </c>
      <c r="G18" s="158" t="s">
        <v>172</v>
      </c>
      <c r="H18" s="158" t="s">
        <v>354</v>
      </c>
      <c r="I18" s="158" t="s">
        <v>173</v>
      </c>
      <c r="J18" s="157" t="s">
        <v>173</v>
      </c>
      <c r="K18" s="156" t="s">
        <v>173</v>
      </c>
      <c r="L18" s="156" t="s">
        <v>189</v>
      </c>
      <c r="M18" s="225">
        <v>7</v>
      </c>
      <c r="N18" s="189">
        <v>0.99</v>
      </c>
      <c r="O18" s="216">
        <v>2074</v>
      </c>
    </row>
    <row r="19" spans="2:15" x14ac:dyDescent="0.25">
      <c r="B19" s="118">
        <f t="shared" si="0"/>
        <v>15</v>
      </c>
      <c r="C19" s="194" t="s">
        <v>198</v>
      </c>
      <c r="D19" s="140" t="s">
        <v>299</v>
      </c>
      <c r="E19" s="141" t="s">
        <v>122</v>
      </c>
      <c r="F19" s="214" t="s">
        <v>94</v>
      </c>
      <c r="G19" s="158" t="s">
        <v>172</v>
      </c>
      <c r="H19" s="158" t="s">
        <v>355</v>
      </c>
      <c r="I19" s="214" t="s">
        <v>173</v>
      </c>
      <c r="J19" s="156" t="s">
        <v>172</v>
      </c>
      <c r="K19" s="156" t="s">
        <v>173</v>
      </c>
      <c r="L19" s="199" t="s">
        <v>189</v>
      </c>
      <c r="M19" s="229">
        <v>23</v>
      </c>
      <c r="N19" s="189">
        <v>0.99</v>
      </c>
      <c r="O19" s="216">
        <v>4450</v>
      </c>
    </row>
    <row r="20" spans="2:15" x14ac:dyDescent="0.25">
      <c r="B20" s="118">
        <f t="shared" si="0"/>
        <v>16</v>
      </c>
      <c r="C20" s="194" t="s">
        <v>198</v>
      </c>
      <c r="D20" s="140" t="s">
        <v>300</v>
      </c>
      <c r="E20" s="141" t="s">
        <v>122</v>
      </c>
      <c r="F20" s="214" t="s">
        <v>94</v>
      </c>
      <c r="G20" s="158" t="s">
        <v>172</v>
      </c>
      <c r="H20" s="158" t="s">
        <v>355</v>
      </c>
      <c r="I20" s="158" t="s">
        <v>172</v>
      </c>
      <c r="J20" s="156" t="s">
        <v>172</v>
      </c>
      <c r="K20" s="156" t="s">
        <v>173</v>
      </c>
      <c r="L20" s="199" t="s">
        <v>189</v>
      </c>
      <c r="M20" s="229">
        <v>20</v>
      </c>
      <c r="N20" s="189">
        <v>0.99</v>
      </c>
      <c r="O20" s="216">
        <v>4036</v>
      </c>
    </row>
    <row r="21" spans="2:15" x14ac:dyDescent="0.25">
      <c r="B21" s="118">
        <f t="shared" si="0"/>
        <v>17</v>
      </c>
      <c r="C21" s="194" t="s">
        <v>198</v>
      </c>
      <c r="D21" s="140" t="s">
        <v>301</v>
      </c>
      <c r="E21" s="141" t="s">
        <v>122</v>
      </c>
      <c r="F21" s="215" t="s">
        <v>94</v>
      </c>
      <c r="G21" s="159" t="s">
        <v>172</v>
      </c>
      <c r="H21" s="159" t="s">
        <v>355</v>
      </c>
      <c r="I21" s="215" t="s">
        <v>173</v>
      </c>
      <c r="J21" s="156" t="s">
        <v>172</v>
      </c>
      <c r="K21" s="156" t="s">
        <v>172</v>
      </c>
      <c r="L21" s="199" t="s">
        <v>189</v>
      </c>
      <c r="M21" s="229">
        <v>9</v>
      </c>
      <c r="N21" s="118">
        <v>0.98</v>
      </c>
      <c r="O21" s="216">
        <v>3228</v>
      </c>
    </row>
    <row r="22" spans="2:15" x14ac:dyDescent="0.25">
      <c r="B22" s="118">
        <f t="shared" si="0"/>
        <v>18</v>
      </c>
      <c r="C22" s="194" t="s">
        <v>198</v>
      </c>
      <c r="D22" s="140" t="s">
        <v>302</v>
      </c>
      <c r="E22" s="141" t="s">
        <v>122</v>
      </c>
      <c r="F22" s="215" t="s">
        <v>94</v>
      </c>
      <c r="G22" s="159" t="s">
        <v>172</v>
      </c>
      <c r="H22" s="159" t="s">
        <v>355</v>
      </c>
      <c r="I22" s="215" t="s">
        <v>173</v>
      </c>
      <c r="J22" s="156" t="s">
        <v>173</v>
      </c>
      <c r="K22" s="156" t="s">
        <v>172</v>
      </c>
      <c r="L22" s="199" t="s">
        <v>189</v>
      </c>
      <c r="M22" s="229">
        <v>10</v>
      </c>
      <c r="N22" s="191">
        <v>0.99</v>
      </c>
      <c r="O22" s="216">
        <v>3395</v>
      </c>
    </row>
    <row r="23" spans="2:15" x14ac:dyDescent="0.25">
      <c r="B23" s="118">
        <f t="shared" si="0"/>
        <v>19</v>
      </c>
      <c r="C23" s="194" t="s">
        <v>198</v>
      </c>
      <c r="D23" s="140" t="s">
        <v>303</v>
      </c>
      <c r="E23" s="141" t="s">
        <v>122</v>
      </c>
      <c r="F23" s="158" t="s">
        <v>94</v>
      </c>
      <c r="G23" s="158" t="s">
        <v>172</v>
      </c>
      <c r="H23" s="158" t="s">
        <v>355</v>
      </c>
      <c r="I23" s="158" t="s">
        <v>173</v>
      </c>
      <c r="J23" s="156" t="s">
        <v>172</v>
      </c>
      <c r="K23" s="156" t="s">
        <v>173</v>
      </c>
      <c r="L23" s="156" t="s">
        <v>189</v>
      </c>
      <c r="M23" s="229">
        <v>12</v>
      </c>
      <c r="N23" s="189">
        <v>0.99</v>
      </c>
      <c r="O23" s="216">
        <v>2691</v>
      </c>
    </row>
    <row r="24" spans="2:15" x14ac:dyDescent="0.25">
      <c r="B24" s="118">
        <f t="shared" si="0"/>
        <v>20</v>
      </c>
      <c r="C24" s="194" t="s">
        <v>198</v>
      </c>
      <c r="D24" s="140" t="s">
        <v>304</v>
      </c>
      <c r="E24" s="141" t="s">
        <v>122</v>
      </c>
      <c r="F24" s="158" t="s">
        <v>94</v>
      </c>
      <c r="G24" s="158" t="s">
        <v>172</v>
      </c>
      <c r="H24" s="158" t="s">
        <v>355</v>
      </c>
      <c r="I24" s="158" t="s">
        <v>173</v>
      </c>
      <c r="J24" s="157" t="s">
        <v>173</v>
      </c>
      <c r="K24" s="156" t="s">
        <v>173</v>
      </c>
      <c r="L24" s="156" t="s">
        <v>189</v>
      </c>
      <c r="M24" s="229">
        <v>5</v>
      </c>
      <c r="N24" s="118">
        <v>0.98</v>
      </c>
      <c r="O24" s="216">
        <v>4129</v>
      </c>
    </row>
    <row r="25" spans="2:15" x14ac:dyDescent="0.25">
      <c r="B25" s="118">
        <f t="shared" si="0"/>
        <v>21</v>
      </c>
      <c r="C25" s="194" t="s">
        <v>198</v>
      </c>
      <c r="D25" s="140" t="s">
        <v>305</v>
      </c>
      <c r="E25" s="141" t="s">
        <v>122</v>
      </c>
      <c r="F25" s="158" t="s">
        <v>94</v>
      </c>
      <c r="G25" s="158" t="s">
        <v>172</v>
      </c>
      <c r="H25" s="158" t="s">
        <v>355</v>
      </c>
      <c r="I25" s="158" t="s">
        <v>172</v>
      </c>
      <c r="J25" s="157" t="s">
        <v>173</v>
      </c>
      <c r="K25" s="156" t="s">
        <v>172</v>
      </c>
      <c r="L25" s="156" t="s">
        <v>189</v>
      </c>
      <c r="M25" s="229">
        <v>7</v>
      </c>
      <c r="N25" s="118">
        <v>0.99</v>
      </c>
      <c r="O25" s="216">
        <v>6032</v>
      </c>
    </row>
    <row r="26" spans="2:15" x14ac:dyDescent="0.25">
      <c r="B26" s="118">
        <f t="shared" si="0"/>
        <v>22</v>
      </c>
      <c r="C26" s="194" t="s">
        <v>198</v>
      </c>
      <c r="D26" s="140" t="s">
        <v>306</v>
      </c>
      <c r="E26" s="141" t="s">
        <v>122</v>
      </c>
      <c r="F26" s="158" t="s">
        <v>94</v>
      </c>
      <c r="G26" s="158" t="s">
        <v>172</v>
      </c>
      <c r="H26" s="158" t="s">
        <v>355</v>
      </c>
      <c r="I26" s="158" t="s">
        <v>173</v>
      </c>
      <c r="J26" s="156" t="s">
        <v>173</v>
      </c>
      <c r="K26" s="156" t="s">
        <v>173</v>
      </c>
      <c r="L26" s="156" t="s">
        <v>189</v>
      </c>
      <c r="M26" s="229">
        <v>9</v>
      </c>
      <c r="N26" s="118">
        <v>0.98</v>
      </c>
      <c r="O26" s="216">
        <v>1982</v>
      </c>
    </row>
    <row r="27" spans="2:15" x14ac:dyDescent="0.25">
      <c r="B27" s="118">
        <f t="shared" si="0"/>
        <v>23</v>
      </c>
      <c r="C27" s="194" t="s">
        <v>198</v>
      </c>
      <c r="D27" s="140" t="s">
        <v>307</v>
      </c>
      <c r="E27" s="141" t="s">
        <v>122</v>
      </c>
      <c r="F27" s="158" t="s">
        <v>94</v>
      </c>
      <c r="G27" s="158" t="s">
        <v>172</v>
      </c>
      <c r="H27" s="158" t="s">
        <v>355</v>
      </c>
      <c r="I27" s="158" t="s">
        <v>173</v>
      </c>
      <c r="J27" s="156" t="s">
        <v>173</v>
      </c>
      <c r="K27" s="156" t="s">
        <v>173</v>
      </c>
      <c r="L27" s="156" t="s">
        <v>189</v>
      </c>
      <c r="M27" s="226">
        <v>8</v>
      </c>
      <c r="N27" s="118">
        <v>0.99</v>
      </c>
      <c r="O27" s="216">
        <v>2180</v>
      </c>
    </row>
    <row r="28" spans="2:15" x14ac:dyDescent="0.25">
      <c r="B28" s="118">
        <f t="shared" si="0"/>
        <v>24</v>
      </c>
      <c r="C28" s="194" t="s">
        <v>198</v>
      </c>
      <c r="D28" s="140" t="s">
        <v>378</v>
      </c>
      <c r="E28" s="141" t="s">
        <v>122</v>
      </c>
      <c r="F28" s="158" t="s">
        <v>94</v>
      </c>
      <c r="G28" s="158" t="s">
        <v>172</v>
      </c>
      <c r="H28" s="158" t="s">
        <v>355</v>
      </c>
      <c r="I28" s="158" t="s">
        <v>173</v>
      </c>
      <c r="J28" s="156" t="s">
        <v>173</v>
      </c>
      <c r="K28" s="156" t="s">
        <v>173</v>
      </c>
      <c r="L28" s="156" t="s">
        <v>189</v>
      </c>
      <c r="M28" s="226">
        <v>8</v>
      </c>
      <c r="N28" s="118">
        <v>0.99</v>
      </c>
      <c r="O28" s="216">
        <v>2180</v>
      </c>
    </row>
    <row r="29" spans="2:15" x14ac:dyDescent="0.25">
      <c r="B29" s="118">
        <f t="shared" si="0"/>
        <v>25</v>
      </c>
      <c r="C29" s="194" t="s">
        <v>198</v>
      </c>
      <c r="D29" s="140" t="s">
        <v>308</v>
      </c>
      <c r="E29" s="141" t="s">
        <v>122</v>
      </c>
      <c r="F29" s="158" t="s">
        <v>94</v>
      </c>
      <c r="G29" s="158" t="s">
        <v>172</v>
      </c>
      <c r="H29" s="158" t="s">
        <v>355</v>
      </c>
      <c r="I29" s="158" t="s">
        <v>173</v>
      </c>
      <c r="J29" s="157" t="s">
        <v>172</v>
      </c>
      <c r="K29" s="156" t="s">
        <v>173</v>
      </c>
      <c r="L29" s="156" t="s">
        <v>189</v>
      </c>
      <c r="M29" s="225">
        <v>12</v>
      </c>
      <c r="N29" s="118">
        <v>0.95</v>
      </c>
      <c r="O29" s="216">
        <v>1287</v>
      </c>
    </row>
    <row r="30" spans="2:15" x14ac:dyDescent="0.25">
      <c r="B30" s="118">
        <f t="shared" si="0"/>
        <v>26</v>
      </c>
      <c r="C30" s="194" t="s">
        <v>198</v>
      </c>
      <c r="D30" s="140" t="s">
        <v>309</v>
      </c>
      <c r="E30" s="141" t="s">
        <v>122</v>
      </c>
      <c r="F30" s="158" t="s">
        <v>94</v>
      </c>
      <c r="G30" s="158" t="s">
        <v>172</v>
      </c>
      <c r="H30" s="158" t="s">
        <v>355</v>
      </c>
      <c r="I30" s="158" t="s">
        <v>173</v>
      </c>
      <c r="J30" s="157" t="s">
        <v>172</v>
      </c>
      <c r="K30" s="156" t="s">
        <v>173</v>
      </c>
      <c r="L30" s="156" t="s">
        <v>189</v>
      </c>
      <c r="M30" s="225">
        <v>15</v>
      </c>
      <c r="N30" s="189">
        <v>0.98</v>
      </c>
      <c r="O30" s="216">
        <v>896</v>
      </c>
    </row>
    <row r="31" spans="2:15" x14ac:dyDescent="0.25">
      <c r="B31" s="118">
        <f t="shared" si="0"/>
        <v>27</v>
      </c>
      <c r="C31" s="194" t="s">
        <v>198</v>
      </c>
      <c r="D31" s="140" t="s">
        <v>310</v>
      </c>
      <c r="E31" s="141" t="s">
        <v>122</v>
      </c>
      <c r="F31" s="158" t="s">
        <v>94</v>
      </c>
      <c r="G31" s="158" t="s">
        <v>172</v>
      </c>
      <c r="H31" s="158" t="s">
        <v>355</v>
      </c>
      <c r="I31" s="158" t="s">
        <v>173</v>
      </c>
      <c r="J31" s="157" t="s">
        <v>172</v>
      </c>
      <c r="K31" s="156" t="s">
        <v>173</v>
      </c>
      <c r="L31" s="156" t="s">
        <v>189</v>
      </c>
      <c r="M31" s="225">
        <v>11</v>
      </c>
      <c r="N31" s="118">
        <v>0.97</v>
      </c>
      <c r="O31" s="216">
        <v>145</v>
      </c>
    </row>
    <row r="32" spans="2:15" x14ac:dyDescent="0.25">
      <c r="B32" s="118">
        <f t="shared" si="0"/>
        <v>28</v>
      </c>
      <c r="C32" s="194" t="s">
        <v>198</v>
      </c>
      <c r="D32" s="140" t="s">
        <v>311</v>
      </c>
      <c r="E32" s="141" t="s">
        <v>122</v>
      </c>
      <c r="F32" s="158" t="s">
        <v>94</v>
      </c>
      <c r="G32" s="158" t="s">
        <v>172</v>
      </c>
      <c r="H32" s="158" t="s">
        <v>355</v>
      </c>
      <c r="I32" s="158" t="s">
        <v>173</v>
      </c>
      <c r="J32" s="157" t="s">
        <v>172</v>
      </c>
      <c r="K32" s="156" t="s">
        <v>173</v>
      </c>
      <c r="L32" s="156" t="s">
        <v>189</v>
      </c>
      <c r="M32" s="225">
        <v>25</v>
      </c>
      <c r="N32" s="189">
        <v>0.98</v>
      </c>
      <c r="O32" s="216">
        <v>73</v>
      </c>
    </row>
    <row r="33" spans="2:15" x14ac:dyDescent="0.25">
      <c r="B33" s="118">
        <f t="shared" si="0"/>
        <v>29</v>
      </c>
      <c r="C33" s="194" t="s">
        <v>198</v>
      </c>
      <c r="D33" s="140" t="s">
        <v>109</v>
      </c>
      <c r="E33" s="141" t="s">
        <v>122</v>
      </c>
      <c r="F33" s="158" t="s">
        <v>94</v>
      </c>
      <c r="G33" s="158" t="s">
        <v>172</v>
      </c>
      <c r="H33" s="158" t="s">
        <v>354</v>
      </c>
      <c r="I33" s="158" t="s">
        <v>173</v>
      </c>
      <c r="J33" s="219" t="s">
        <v>173</v>
      </c>
      <c r="K33" s="220" t="s">
        <v>172</v>
      </c>
      <c r="L33" s="220" t="s">
        <v>189</v>
      </c>
      <c r="M33" s="229">
        <v>5</v>
      </c>
      <c r="N33" s="222">
        <v>0.94</v>
      </c>
      <c r="O33" s="216">
        <v>4565</v>
      </c>
    </row>
    <row r="34" spans="2:15" x14ac:dyDescent="0.25">
      <c r="B34" s="118">
        <f t="shared" si="0"/>
        <v>30</v>
      </c>
      <c r="C34" s="194" t="s">
        <v>198</v>
      </c>
      <c r="D34" s="140" t="s">
        <v>110</v>
      </c>
      <c r="E34" s="141" t="s">
        <v>122</v>
      </c>
      <c r="F34" s="158" t="s">
        <v>94</v>
      </c>
      <c r="G34" s="158" t="s">
        <v>172</v>
      </c>
      <c r="H34" s="158" t="s">
        <v>354</v>
      </c>
      <c r="I34" s="158" t="s">
        <v>173</v>
      </c>
      <c r="J34" s="219" t="s">
        <v>173</v>
      </c>
      <c r="K34" s="220" t="s">
        <v>172</v>
      </c>
      <c r="L34" s="220" t="s">
        <v>189</v>
      </c>
      <c r="M34" s="229">
        <v>6</v>
      </c>
      <c r="N34" s="222">
        <v>0.95</v>
      </c>
      <c r="O34" s="216">
        <v>458</v>
      </c>
    </row>
    <row r="35" spans="2:15" x14ac:dyDescent="0.25">
      <c r="B35" s="118">
        <f t="shared" si="0"/>
        <v>31</v>
      </c>
      <c r="C35" s="196" t="s">
        <v>198</v>
      </c>
      <c r="D35" s="140" t="s">
        <v>111</v>
      </c>
      <c r="E35" s="141" t="s">
        <v>122</v>
      </c>
      <c r="F35" s="158" t="s">
        <v>94</v>
      </c>
      <c r="G35" s="158" t="s">
        <v>172</v>
      </c>
      <c r="H35" s="158" t="s">
        <v>354</v>
      </c>
      <c r="I35" s="158" t="s">
        <v>173</v>
      </c>
      <c r="J35" s="219" t="s">
        <v>173</v>
      </c>
      <c r="K35" s="220" t="s">
        <v>172</v>
      </c>
      <c r="L35" s="220" t="s">
        <v>189</v>
      </c>
      <c r="M35" s="229">
        <v>6</v>
      </c>
      <c r="N35" s="222">
        <v>0.95</v>
      </c>
      <c r="O35" s="216">
        <v>1536</v>
      </c>
    </row>
    <row r="36" spans="2:15" x14ac:dyDescent="0.25">
      <c r="B36" s="118">
        <f t="shared" si="0"/>
        <v>32</v>
      </c>
      <c r="C36" s="196" t="s">
        <v>198</v>
      </c>
      <c r="D36" s="140" t="s">
        <v>112</v>
      </c>
      <c r="E36" s="141" t="s">
        <v>122</v>
      </c>
      <c r="F36" s="158" t="s">
        <v>94</v>
      </c>
      <c r="G36" s="158" t="s">
        <v>172</v>
      </c>
      <c r="H36" s="158" t="s">
        <v>354</v>
      </c>
      <c r="I36" s="158" t="s">
        <v>173</v>
      </c>
      <c r="J36" s="219" t="s">
        <v>173</v>
      </c>
      <c r="K36" s="220" t="s">
        <v>172</v>
      </c>
      <c r="L36" s="220" t="s">
        <v>189</v>
      </c>
      <c r="M36" s="229">
        <v>6</v>
      </c>
      <c r="N36" s="223">
        <v>0.95</v>
      </c>
      <c r="O36" s="216">
        <v>3957</v>
      </c>
    </row>
    <row r="37" spans="2:15" x14ac:dyDescent="0.25">
      <c r="B37" s="118">
        <f t="shared" si="0"/>
        <v>33</v>
      </c>
      <c r="C37" s="195" t="s">
        <v>198</v>
      </c>
      <c r="D37" s="140" t="s">
        <v>155</v>
      </c>
      <c r="E37" s="141" t="s">
        <v>122</v>
      </c>
      <c r="F37" s="158" t="s">
        <v>94</v>
      </c>
      <c r="G37" s="158" t="s">
        <v>172</v>
      </c>
      <c r="H37" s="158" t="s">
        <v>354</v>
      </c>
      <c r="I37" s="158" t="s">
        <v>173</v>
      </c>
      <c r="J37" s="219" t="s">
        <v>172</v>
      </c>
      <c r="K37" s="220" t="s">
        <v>173</v>
      </c>
      <c r="L37" s="220" t="s">
        <v>189</v>
      </c>
      <c r="M37" s="221">
        <v>10</v>
      </c>
      <c r="N37" s="223">
        <v>0.98</v>
      </c>
      <c r="O37" s="216">
        <v>45</v>
      </c>
    </row>
    <row r="38" spans="2:15" x14ac:dyDescent="0.25">
      <c r="B38" s="118">
        <f t="shared" si="0"/>
        <v>34</v>
      </c>
      <c r="C38" s="194" t="s">
        <v>197</v>
      </c>
      <c r="D38" s="148" t="s">
        <v>82</v>
      </c>
      <c r="E38" s="141" t="s">
        <v>122</v>
      </c>
      <c r="F38" s="158" t="s">
        <v>94</v>
      </c>
      <c r="G38" s="158" t="s">
        <v>172</v>
      </c>
      <c r="H38" s="158" t="s">
        <v>355</v>
      </c>
      <c r="I38" s="158" t="s">
        <v>173</v>
      </c>
      <c r="J38" s="157" t="s">
        <v>172</v>
      </c>
      <c r="K38" s="220" t="s">
        <v>173</v>
      </c>
      <c r="L38" s="220" t="s">
        <v>189</v>
      </c>
      <c r="M38" s="224" t="s">
        <v>125</v>
      </c>
      <c r="N38" s="191">
        <v>0</v>
      </c>
      <c r="O38" s="119">
        <v>4537</v>
      </c>
    </row>
    <row r="39" spans="2:15" x14ac:dyDescent="0.25">
      <c r="B39" s="118">
        <f t="shared" si="0"/>
        <v>35</v>
      </c>
      <c r="C39" s="196" t="s">
        <v>197</v>
      </c>
      <c r="D39" s="148" t="s">
        <v>83</v>
      </c>
      <c r="E39" s="141" t="s">
        <v>122</v>
      </c>
      <c r="F39" s="158" t="s">
        <v>94</v>
      </c>
      <c r="G39" s="158" t="s">
        <v>172</v>
      </c>
      <c r="H39" s="158" t="s">
        <v>355</v>
      </c>
      <c r="I39" s="158" t="s">
        <v>173</v>
      </c>
      <c r="J39" s="219" t="s">
        <v>173</v>
      </c>
      <c r="K39" s="220" t="s">
        <v>173</v>
      </c>
      <c r="L39" s="220" t="s">
        <v>189</v>
      </c>
      <c r="M39" s="224" t="s">
        <v>125</v>
      </c>
      <c r="N39" s="191">
        <v>0</v>
      </c>
      <c r="O39" s="119">
        <v>10583</v>
      </c>
    </row>
    <row r="40" spans="2:15" x14ac:dyDescent="0.25">
      <c r="B40" s="118">
        <f t="shared" si="0"/>
        <v>36</v>
      </c>
      <c r="C40" s="195" t="s">
        <v>197</v>
      </c>
      <c r="D40" s="140" t="s">
        <v>84</v>
      </c>
      <c r="E40" s="141" t="s">
        <v>122</v>
      </c>
      <c r="F40" s="158" t="s">
        <v>94</v>
      </c>
      <c r="G40" s="158" t="s">
        <v>172</v>
      </c>
      <c r="H40" s="158" t="s">
        <v>355</v>
      </c>
      <c r="I40" s="158" t="s">
        <v>173</v>
      </c>
      <c r="J40" s="219" t="s">
        <v>173</v>
      </c>
      <c r="K40" s="220" t="s">
        <v>173</v>
      </c>
      <c r="L40" s="220" t="s">
        <v>189</v>
      </c>
      <c r="M40" s="224" t="s">
        <v>125</v>
      </c>
      <c r="N40" s="191">
        <v>0</v>
      </c>
      <c r="O40" s="119">
        <v>378</v>
      </c>
    </row>
    <row r="41" spans="2:15" x14ac:dyDescent="0.25">
      <c r="B41" s="118">
        <f t="shared" si="0"/>
        <v>37</v>
      </c>
      <c r="C41" s="194" t="s">
        <v>197</v>
      </c>
      <c r="D41" s="148" t="s">
        <v>79</v>
      </c>
      <c r="E41" s="141" t="s">
        <v>122</v>
      </c>
      <c r="F41" s="158" t="s">
        <v>94</v>
      </c>
      <c r="G41" s="158" t="s">
        <v>172</v>
      </c>
      <c r="H41" s="158" t="s">
        <v>355</v>
      </c>
      <c r="I41" s="158" t="s">
        <v>173</v>
      </c>
      <c r="J41" s="219" t="s">
        <v>173</v>
      </c>
      <c r="K41" s="220" t="s">
        <v>173</v>
      </c>
      <c r="L41" s="220" t="s">
        <v>189</v>
      </c>
      <c r="M41" s="224" t="s">
        <v>125</v>
      </c>
      <c r="N41" s="191">
        <v>0</v>
      </c>
      <c r="O41" s="119">
        <v>3248</v>
      </c>
    </row>
    <row r="42" spans="2:15" x14ac:dyDescent="0.25">
      <c r="B42" s="118">
        <f t="shared" si="0"/>
        <v>38</v>
      </c>
      <c r="C42" s="194" t="s">
        <v>197</v>
      </c>
      <c r="D42" s="148" t="s">
        <v>80</v>
      </c>
      <c r="E42" s="141" t="s">
        <v>122</v>
      </c>
      <c r="F42" s="158" t="s">
        <v>94</v>
      </c>
      <c r="G42" s="158" t="s">
        <v>172</v>
      </c>
      <c r="H42" s="158" t="s">
        <v>355</v>
      </c>
      <c r="I42" s="158" t="s">
        <v>173</v>
      </c>
      <c r="J42" s="219" t="s">
        <v>173</v>
      </c>
      <c r="K42" s="220" t="s">
        <v>173</v>
      </c>
      <c r="L42" s="220" t="s">
        <v>189</v>
      </c>
      <c r="M42" s="224" t="s">
        <v>125</v>
      </c>
      <c r="N42" s="191">
        <v>0</v>
      </c>
      <c r="O42" s="119">
        <v>2</v>
      </c>
    </row>
    <row r="43" spans="2:15" x14ac:dyDescent="0.25">
      <c r="B43" s="118">
        <f t="shared" si="0"/>
        <v>39</v>
      </c>
      <c r="C43" s="194" t="s">
        <v>197</v>
      </c>
      <c r="D43" s="148" t="s">
        <v>81</v>
      </c>
      <c r="E43" s="141" t="s">
        <v>122</v>
      </c>
      <c r="F43" s="158" t="s">
        <v>94</v>
      </c>
      <c r="G43" s="158" t="s">
        <v>172</v>
      </c>
      <c r="H43" s="158" t="s">
        <v>355</v>
      </c>
      <c r="I43" s="158" t="s">
        <v>173</v>
      </c>
      <c r="J43" s="219" t="s">
        <v>172</v>
      </c>
      <c r="K43" s="220" t="s">
        <v>173</v>
      </c>
      <c r="L43" s="220" t="s">
        <v>189</v>
      </c>
      <c r="M43" s="230" t="s">
        <v>125</v>
      </c>
      <c r="N43" s="191">
        <v>0</v>
      </c>
      <c r="O43" s="119">
        <v>3112</v>
      </c>
    </row>
    <row r="44" spans="2:15" x14ac:dyDescent="0.25">
      <c r="B44" s="118">
        <f t="shared" si="0"/>
        <v>40</v>
      </c>
      <c r="C44" s="196" t="s">
        <v>197</v>
      </c>
      <c r="D44" s="127" t="s">
        <v>43</v>
      </c>
      <c r="E44" s="61" t="s">
        <v>122</v>
      </c>
      <c r="F44" s="155" t="s">
        <v>94</v>
      </c>
      <c r="G44" s="151" t="s">
        <v>173</v>
      </c>
      <c r="H44" s="155" t="s">
        <v>353</v>
      </c>
      <c r="I44" s="151" t="s">
        <v>173</v>
      </c>
      <c r="J44" s="155" t="s">
        <v>172</v>
      </c>
      <c r="K44" s="156" t="s">
        <v>172</v>
      </c>
      <c r="L44" s="156" t="s">
        <v>189</v>
      </c>
      <c r="M44" s="229">
        <v>12</v>
      </c>
      <c r="N44" s="190">
        <v>0.97</v>
      </c>
      <c r="O44" s="119">
        <v>3595</v>
      </c>
    </row>
    <row r="45" spans="2:15" x14ac:dyDescent="0.25">
      <c r="B45" s="118">
        <f t="shared" si="0"/>
        <v>41</v>
      </c>
      <c r="C45" s="196" t="s">
        <v>197</v>
      </c>
      <c r="D45" s="127" t="s">
        <v>44</v>
      </c>
      <c r="E45" s="61" t="s">
        <v>122</v>
      </c>
      <c r="F45" s="155" t="s">
        <v>94</v>
      </c>
      <c r="G45" s="151" t="s">
        <v>173</v>
      </c>
      <c r="H45" s="155" t="s">
        <v>353</v>
      </c>
      <c r="I45" s="151" t="s">
        <v>173</v>
      </c>
      <c r="J45" s="155" t="s">
        <v>173</v>
      </c>
      <c r="K45" s="155" t="s">
        <v>172</v>
      </c>
      <c r="L45" s="156" t="s">
        <v>189</v>
      </c>
      <c r="M45" s="229">
        <v>6</v>
      </c>
      <c r="N45" s="190">
        <v>0.97</v>
      </c>
      <c r="O45" s="119">
        <v>1512</v>
      </c>
    </row>
    <row r="46" spans="2:15" x14ac:dyDescent="0.25">
      <c r="B46" s="118">
        <f t="shared" si="0"/>
        <v>42</v>
      </c>
      <c r="C46" s="195" t="s">
        <v>197</v>
      </c>
      <c r="D46" s="128" t="s">
        <v>326</v>
      </c>
      <c r="E46" s="61" t="s">
        <v>76</v>
      </c>
      <c r="F46" s="129" t="s">
        <v>123</v>
      </c>
      <c r="G46" s="151" t="s">
        <v>173</v>
      </c>
      <c r="H46" s="155" t="s">
        <v>353</v>
      </c>
      <c r="I46" s="157" t="s">
        <v>125</v>
      </c>
      <c r="J46" s="157" t="s">
        <v>125</v>
      </c>
      <c r="K46" s="157" t="s">
        <v>125</v>
      </c>
      <c r="L46" s="129"/>
      <c r="M46" s="225" t="s">
        <v>125</v>
      </c>
      <c r="N46" s="191">
        <v>0</v>
      </c>
      <c r="O46" s="119">
        <v>3271</v>
      </c>
    </row>
    <row r="47" spans="2:15" x14ac:dyDescent="0.25">
      <c r="B47" s="118">
        <f t="shared" si="0"/>
        <v>43</v>
      </c>
      <c r="C47" s="194" t="s">
        <v>197</v>
      </c>
      <c r="D47" s="128" t="s">
        <v>327</v>
      </c>
      <c r="E47" s="61" t="s">
        <v>76</v>
      </c>
      <c r="F47" s="129" t="s">
        <v>123</v>
      </c>
      <c r="G47" s="151" t="s">
        <v>173</v>
      </c>
      <c r="H47" s="155" t="s">
        <v>353</v>
      </c>
      <c r="I47" s="157" t="s">
        <v>125</v>
      </c>
      <c r="J47" s="157" t="s">
        <v>125</v>
      </c>
      <c r="K47" s="157" t="s">
        <v>125</v>
      </c>
      <c r="L47" s="129"/>
      <c r="M47" s="225" t="s">
        <v>125</v>
      </c>
      <c r="N47" s="191">
        <v>0</v>
      </c>
      <c r="O47" s="119">
        <v>14</v>
      </c>
    </row>
    <row r="48" spans="2:15" x14ac:dyDescent="0.25">
      <c r="B48" s="118">
        <f t="shared" si="0"/>
        <v>44</v>
      </c>
      <c r="C48" s="194" t="s">
        <v>197</v>
      </c>
      <c r="D48" s="128" t="s">
        <v>328</v>
      </c>
      <c r="E48" s="61" t="s">
        <v>76</v>
      </c>
      <c r="F48" s="129" t="s">
        <v>123</v>
      </c>
      <c r="G48" s="151" t="s">
        <v>173</v>
      </c>
      <c r="H48" s="155" t="s">
        <v>353</v>
      </c>
      <c r="I48" s="157" t="s">
        <v>125</v>
      </c>
      <c r="J48" s="157" t="s">
        <v>125</v>
      </c>
      <c r="K48" s="157" t="s">
        <v>125</v>
      </c>
      <c r="L48" s="129"/>
      <c r="M48" s="225" t="s">
        <v>125</v>
      </c>
      <c r="N48" s="191">
        <v>0</v>
      </c>
      <c r="O48" s="119">
        <v>5</v>
      </c>
    </row>
    <row r="49" spans="2:15" x14ac:dyDescent="0.25">
      <c r="B49" s="118">
        <f t="shared" si="0"/>
        <v>45</v>
      </c>
      <c r="C49" s="194" t="s">
        <v>199</v>
      </c>
      <c r="D49" s="148" t="s">
        <v>75</v>
      </c>
      <c r="E49" s="141" t="s">
        <v>122</v>
      </c>
      <c r="F49" s="158" t="s">
        <v>94</v>
      </c>
      <c r="G49" s="158" t="s">
        <v>172</v>
      </c>
      <c r="H49" s="158" t="s">
        <v>354</v>
      </c>
      <c r="I49" s="158" t="s">
        <v>173</v>
      </c>
      <c r="J49" s="155" t="s">
        <v>173</v>
      </c>
      <c r="K49" s="155" t="s">
        <v>173</v>
      </c>
      <c r="L49" s="155" t="s">
        <v>189</v>
      </c>
      <c r="M49" s="229">
        <v>8</v>
      </c>
      <c r="N49" s="149">
        <v>0.99</v>
      </c>
      <c r="O49" s="119">
        <v>4698</v>
      </c>
    </row>
    <row r="50" spans="2:15" x14ac:dyDescent="0.25">
      <c r="B50" s="118">
        <f t="shared" si="0"/>
        <v>46</v>
      </c>
      <c r="C50" s="194" t="s">
        <v>199</v>
      </c>
      <c r="D50" s="148" t="s">
        <v>77</v>
      </c>
      <c r="E50" s="141" t="s">
        <v>122</v>
      </c>
      <c r="F50" s="158" t="s">
        <v>94</v>
      </c>
      <c r="G50" s="158" t="s">
        <v>172</v>
      </c>
      <c r="H50" s="158" t="s">
        <v>354</v>
      </c>
      <c r="I50" s="158" t="s">
        <v>173</v>
      </c>
      <c r="J50" s="155" t="s">
        <v>173</v>
      </c>
      <c r="K50" s="155" t="s">
        <v>173</v>
      </c>
      <c r="L50" s="155" t="s">
        <v>189</v>
      </c>
      <c r="M50" s="229">
        <v>6</v>
      </c>
      <c r="N50" s="149">
        <v>0.98</v>
      </c>
      <c r="O50" s="119">
        <v>10903</v>
      </c>
    </row>
    <row r="51" spans="2:15" x14ac:dyDescent="0.25">
      <c r="B51" s="118">
        <f t="shared" si="0"/>
        <v>47</v>
      </c>
      <c r="C51" s="194" t="s">
        <v>199</v>
      </c>
      <c r="D51" s="148" t="s">
        <v>78</v>
      </c>
      <c r="E51" s="141" t="s">
        <v>122</v>
      </c>
      <c r="F51" s="158" t="s">
        <v>94</v>
      </c>
      <c r="G51" s="158" t="s">
        <v>172</v>
      </c>
      <c r="H51" s="158" t="s">
        <v>354</v>
      </c>
      <c r="I51" s="158" t="s">
        <v>173</v>
      </c>
      <c r="J51" s="155" t="s">
        <v>173</v>
      </c>
      <c r="K51" s="155" t="s">
        <v>173</v>
      </c>
      <c r="L51" s="220" t="s">
        <v>189</v>
      </c>
      <c r="M51" s="229">
        <v>15</v>
      </c>
      <c r="N51" s="149">
        <v>0.99</v>
      </c>
      <c r="O51" s="119">
        <v>3764</v>
      </c>
    </row>
    <row r="52" spans="2:15" x14ac:dyDescent="0.25">
      <c r="B52" s="118">
        <f t="shared" si="0"/>
        <v>48</v>
      </c>
      <c r="C52" s="194" t="s">
        <v>199</v>
      </c>
      <c r="D52" s="140" t="s">
        <v>268</v>
      </c>
      <c r="E52" s="141" t="s">
        <v>122</v>
      </c>
      <c r="F52" s="158" t="s">
        <v>94</v>
      </c>
      <c r="G52" s="158" t="s">
        <v>172</v>
      </c>
      <c r="H52" s="158" t="s">
        <v>355</v>
      </c>
      <c r="I52" s="158" t="s">
        <v>173</v>
      </c>
      <c r="J52" s="157" t="s">
        <v>172</v>
      </c>
      <c r="K52" s="157" t="s">
        <v>173</v>
      </c>
      <c r="L52" s="199" t="s">
        <v>189</v>
      </c>
      <c r="M52" s="227"/>
      <c r="N52" s="203">
        <v>0</v>
      </c>
      <c r="O52" s="119"/>
    </row>
    <row r="53" spans="2:15" x14ac:dyDescent="0.25">
      <c r="B53" s="118">
        <f t="shared" si="0"/>
        <v>49</v>
      </c>
      <c r="C53" s="196" t="s">
        <v>200</v>
      </c>
      <c r="D53" s="128" t="s">
        <v>113</v>
      </c>
      <c r="E53" s="61" t="s">
        <v>122</v>
      </c>
      <c r="F53" s="151" t="s">
        <v>94</v>
      </c>
      <c r="G53" s="151" t="s">
        <v>173</v>
      </c>
      <c r="H53" s="159" t="s">
        <v>356</v>
      </c>
      <c r="I53" s="151" t="s">
        <v>173</v>
      </c>
      <c r="J53" s="157" t="s">
        <v>173</v>
      </c>
      <c r="K53" s="156" t="s">
        <v>173</v>
      </c>
      <c r="L53" s="156" t="s">
        <v>189</v>
      </c>
      <c r="M53" s="225">
        <v>10</v>
      </c>
      <c r="N53" s="189">
        <v>0.96</v>
      </c>
      <c r="O53" s="119">
        <v>890</v>
      </c>
    </row>
    <row r="54" spans="2:15" x14ac:dyDescent="0.25">
      <c r="B54" s="118">
        <f t="shared" si="0"/>
        <v>50</v>
      </c>
      <c r="C54" s="196" t="s">
        <v>200</v>
      </c>
      <c r="D54" s="128" t="s">
        <v>114</v>
      </c>
      <c r="E54" s="61" t="s">
        <v>122</v>
      </c>
      <c r="F54" s="151" t="s">
        <v>94</v>
      </c>
      <c r="G54" s="151" t="s">
        <v>173</v>
      </c>
      <c r="H54" s="159" t="s">
        <v>356</v>
      </c>
      <c r="I54" s="155" t="s">
        <v>172</v>
      </c>
      <c r="J54" s="156" t="s">
        <v>173</v>
      </c>
      <c r="K54" s="156" t="s">
        <v>173</v>
      </c>
      <c r="L54" s="156" t="s">
        <v>189</v>
      </c>
      <c r="M54" s="225">
        <v>11</v>
      </c>
      <c r="N54" s="118">
        <v>0.98</v>
      </c>
      <c r="O54" s="119">
        <v>613</v>
      </c>
    </row>
    <row r="55" spans="2:15" x14ac:dyDescent="0.25">
      <c r="B55" s="118">
        <f t="shared" si="0"/>
        <v>51</v>
      </c>
      <c r="C55" s="195" t="s">
        <v>200</v>
      </c>
      <c r="D55" s="128" t="s">
        <v>115</v>
      </c>
      <c r="E55" s="61" t="s">
        <v>122</v>
      </c>
      <c r="F55" s="155" t="s">
        <v>94</v>
      </c>
      <c r="G55" s="151" t="s">
        <v>173</v>
      </c>
      <c r="H55" s="159" t="s">
        <v>356</v>
      </c>
      <c r="I55" s="151" t="s">
        <v>173</v>
      </c>
      <c r="J55" s="157" t="s">
        <v>173</v>
      </c>
      <c r="K55" s="156" t="s">
        <v>173</v>
      </c>
      <c r="L55" s="156" t="s">
        <v>189</v>
      </c>
      <c r="M55" s="225"/>
      <c r="N55" s="189">
        <v>0.97</v>
      </c>
      <c r="O55" s="119">
        <v>1</v>
      </c>
    </row>
    <row r="56" spans="2:15" x14ac:dyDescent="0.25">
      <c r="B56" s="118">
        <f t="shared" si="0"/>
        <v>52</v>
      </c>
      <c r="C56" s="195" t="s">
        <v>200</v>
      </c>
      <c r="D56" s="128" t="s">
        <v>116</v>
      </c>
      <c r="E56" s="61" t="s">
        <v>122</v>
      </c>
      <c r="F56" s="151" t="s">
        <v>94</v>
      </c>
      <c r="G56" s="151" t="s">
        <v>173</v>
      </c>
      <c r="H56" s="159" t="s">
        <v>354</v>
      </c>
      <c r="I56" s="151" t="s">
        <v>173</v>
      </c>
      <c r="J56" s="157" t="s">
        <v>173</v>
      </c>
      <c r="K56" s="156" t="s">
        <v>173</v>
      </c>
      <c r="L56" s="119"/>
      <c r="M56" s="225"/>
      <c r="N56" s="189">
        <v>0</v>
      </c>
      <c r="O56" s="119">
        <v>7</v>
      </c>
    </row>
    <row r="57" spans="2:15" x14ac:dyDescent="0.25">
      <c r="B57" s="118">
        <f t="shared" si="0"/>
        <v>53</v>
      </c>
      <c r="C57" s="196" t="s">
        <v>200</v>
      </c>
      <c r="D57" s="128" t="s">
        <v>117</v>
      </c>
      <c r="E57" s="61" t="s">
        <v>122</v>
      </c>
      <c r="F57" s="151" t="s">
        <v>94</v>
      </c>
      <c r="G57" s="151" t="s">
        <v>173</v>
      </c>
      <c r="H57" s="159" t="s">
        <v>354</v>
      </c>
      <c r="I57" s="155" t="s">
        <v>172</v>
      </c>
      <c r="J57" s="156" t="s">
        <v>173</v>
      </c>
      <c r="K57" s="156" t="s">
        <v>173</v>
      </c>
      <c r="L57" s="156" t="s">
        <v>189</v>
      </c>
      <c r="M57" s="225">
        <v>8</v>
      </c>
      <c r="N57" s="189">
        <v>0.96</v>
      </c>
      <c r="O57" s="119">
        <v>4811</v>
      </c>
    </row>
    <row r="58" spans="2:15" x14ac:dyDescent="0.25">
      <c r="B58" s="118">
        <f t="shared" si="0"/>
        <v>54</v>
      </c>
      <c r="C58" s="195" t="s">
        <v>199</v>
      </c>
      <c r="D58" s="148" t="s">
        <v>103</v>
      </c>
      <c r="E58" s="141" t="s">
        <v>122</v>
      </c>
      <c r="F58" s="159" t="s">
        <v>94</v>
      </c>
      <c r="G58" s="159" t="s">
        <v>172</v>
      </c>
      <c r="H58" s="159" t="s">
        <v>356</v>
      </c>
      <c r="I58" s="159" t="s">
        <v>173</v>
      </c>
      <c r="J58" s="156" t="s">
        <v>172</v>
      </c>
      <c r="K58" s="156" t="s">
        <v>173</v>
      </c>
      <c r="L58" s="156" t="s">
        <v>189</v>
      </c>
      <c r="M58" s="229">
        <v>22</v>
      </c>
      <c r="N58" s="118">
        <v>0.99</v>
      </c>
      <c r="O58" s="119">
        <v>338</v>
      </c>
    </row>
    <row r="59" spans="2:15" x14ac:dyDescent="0.25">
      <c r="B59" s="118">
        <f t="shared" si="0"/>
        <v>55</v>
      </c>
      <c r="C59" s="195" t="s">
        <v>199</v>
      </c>
      <c r="D59" s="148" t="s">
        <v>118</v>
      </c>
      <c r="E59" s="141" t="s">
        <v>122</v>
      </c>
      <c r="F59" s="159" t="s">
        <v>94</v>
      </c>
      <c r="G59" s="159" t="s">
        <v>172</v>
      </c>
      <c r="H59" s="159" t="s">
        <v>356</v>
      </c>
      <c r="I59" s="159" t="s">
        <v>173</v>
      </c>
      <c r="J59" s="156" t="s">
        <v>173</v>
      </c>
      <c r="K59" s="155" t="s">
        <v>173</v>
      </c>
      <c r="L59" s="156" t="s">
        <v>189</v>
      </c>
      <c r="M59" s="229">
        <v>15</v>
      </c>
      <c r="N59" s="189">
        <v>0.98</v>
      </c>
      <c r="O59" s="119">
        <v>1123</v>
      </c>
    </row>
    <row r="60" spans="2:15" x14ac:dyDescent="0.25">
      <c r="B60" s="118">
        <f t="shared" si="0"/>
        <v>56</v>
      </c>
      <c r="C60" s="195" t="s">
        <v>199</v>
      </c>
      <c r="D60" s="148" t="s">
        <v>91</v>
      </c>
      <c r="E60" s="141" t="s">
        <v>122</v>
      </c>
      <c r="F60" s="159" t="s">
        <v>94</v>
      </c>
      <c r="G60" s="159" t="s">
        <v>172</v>
      </c>
      <c r="H60" s="159" t="s">
        <v>356</v>
      </c>
      <c r="I60" s="159" t="s">
        <v>173</v>
      </c>
      <c r="J60" s="157" t="s">
        <v>172</v>
      </c>
      <c r="K60" s="155" t="s">
        <v>173</v>
      </c>
      <c r="L60" s="156" t="s">
        <v>189</v>
      </c>
      <c r="M60" s="229">
        <v>12</v>
      </c>
      <c r="N60" s="189">
        <v>0.99</v>
      </c>
      <c r="O60" s="119">
        <v>3458</v>
      </c>
    </row>
    <row r="61" spans="2:15" x14ac:dyDescent="0.25">
      <c r="B61" s="118">
        <f t="shared" si="0"/>
        <v>57</v>
      </c>
      <c r="C61" s="195" t="s">
        <v>199</v>
      </c>
      <c r="D61" s="140" t="s">
        <v>92</v>
      </c>
      <c r="E61" s="150" t="s">
        <v>122</v>
      </c>
      <c r="F61" s="159" t="s">
        <v>94</v>
      </c>
      <c r="G61" s="159" t="s">
        <v>172</v>
      </c>
      <c r="H61" s="159" t="s">
        <v>356</v>
      </c>
      <c r="I61" s="159" t="s">
        <v>173</v>
      </c>
      <c r="J61" s="157" t="s">
        <v>172</v>
      </c>
      <c r="K61" s="155" t="s">
        <v>173</v>
      </c>
      <c r="L61" s="156" t="s">
        <v>189</v>
      </c>
      <c r="M61" s="229">
        <v>12</v>
      </c>
      <c r="N61" s="192">
        <v>0.98</v>
      </c>
      <c r="O61" s="119">
        <v>5675</v>
      </c>
    </row>
    <row r="62" spans="2:15" x14ac:dyDescent="0.25">
      <c r="B62" s="118">
        <f t="shared" si="0"/>
        <v>58</v>
      </c>
      <c r="C62" s="196" t="s">
        <v>200</v>
      </c>
      <c r="D62" s="128" t="s">
        <v>39</v>
      </c>
      <c r="E62" s="160" t="s">
        <v>122</v>
      </c>
      <c r="F62" s="151" t="s">
        <v>94</v>
      </c>
      <c r="G62" s="151" t="s">
        <v>173</v>
      </c>
      <c r="H62" s="155" t="s">
        <v>353</v>
      </c>
      <c r="I62" s="151" t="s">
        <v>173</v>
      </c>
      <c r="J62" s="155" t="s">
        <v>172</v>
      </c>
      <c r="K62" s="156" t="s">
        <v>172</v>
      </c>
      <c r="L62" s="156" t="s">
        <v>189</v>
      </c>
      <c r="M62" s="225">
        <v>20</v>
      </c>
      <c r="N62" s="189">
        <v>0.96</v>
      </c>
      <c r="O62" s="119">
        <v>2814</v>
      </c>
    </row>
    <row r="63" spans="2:15" x14ac:dyDescent="0.25">
      <c r="B63" s="118">
        <f t="shared" si="0"/>
        <v>59</v>
      </c>
      <c r="C63" s="196" t="s">
        <v>200</v>
      </c>
      <c r="D63" s="128" t="s">
        <v>40</v>
      </c>
      <c r="E63" s="160" t="s">
        <v>122</v>
      </c>
      <c r="F63" s="151" t="s">
        <v>94</v>
      </c>
      <c r="G63" s="151" t="s">
        <v>173</v>
      </c>
      <c r="H63" s="155" t="s">
        <v>353</v>
      </c>
      <c r="I63" s="151" t="s">
        <v>173</v>
      </c>
      <c r="J63" s="156" t="s">
        <v>172</v>
      </c>
      <c r="K63" s="156" t="s">
        <v>173</v>
      </c>
      <c r="L63" s="156" t="s">
        <v>189</v>
      </c>
      <c r="M63" s="226">
        <v>18</v>
      </c>
      <c r="N63" s="189">
        <v>0.9</v>
      </c>
      <c r="O63" s="119">
        <v>988</v>
      </c>
    </row>
    <row r="64" spans="2:15" x14ac:dyDescent="0.25">
      <c r="B64" s="118">
        <f t="shared" si="0"/>
        <v>60</v>
      </c>
      <c r="C64" s="196" t="s">
        <v>200</v>
      </c>
      <c r="D64" s="128" t="s">
        <v>41</v>
      </c>
      <c r="E64" s="160" t="s">
        <v>122</v>
      </c>
      <c r="F64" s="151" t="s">
        <v>94</v>
      </c>
      <c r="G64" s="151" t="s">
        <v>173</v>
      </c>
      <c r="H64" s="155" t="s">
        <v>353</v>
      </c>
      <c r="I64" s="151" t="s">
        <v>173</v>
      </c>
      <c r="J64" s="156" t="s">
        <v>172</v>
      </c>
      <c r="K64" s="156" t="s">
        <v>172</v>
      </c>
      <c r="L64" s="156" t="s">
        <v>189</v>
      </c>
      <c r="M64" s="226">
        <v>14</v>
      </c>
      <c r="N64" s="189">
        <v>0.94</v>
      </c>
      <c r="O64" s="119">
        <v>2276</v>
      </c>
    </row>
    <row r="65" spans="2:15" x14ac:dyDescent="0.25">
      <c r="B65" s="118">
        <f t="shared" si="0"/>
        <v>61</v>
      </c>
      <c r="C65" s="195" t="s">
        <v>200</v>
      </c>
      <c r="D65" s="128" t="s">
        <v>42</v>
      </c>
      <c r="E65" s="160" t="s">
        <v>122</v>
      </c>
      <c r="F65" s="151" t="s">
        <v>94</v>
      </c>
      <c r="G65" s="151" t="s">
        <v>173</v>
      </c>
      <c r="H65" s="155" t="s">
        <v>353</v>
      </c>
      <c r="I65" s="151" t="s">
        <v>173</v>
      </c>
      <c r="J65" s="156" t="s">
        <v>172</v>
      </c>
      <c r="K65" s="156" t="s">
        <v>173</v>
      </c>
      <c r="L65" s="156" t="s">
        <v>189</v>
      </c>
      <c r="M65" s="226">
        <v>21</v>
      </c>
      <c r="N65" s="189">
        <v>0.99</v>
      </c>
      <c r="O65" s="119">
        <v>4807</v>
      </c>
    </row>
    <row r="66" spans="2:15" x14ac:dyDescent="0.25">
      <c r="B66" s="118">
        <f t="shared" si="0"/>
        <v>62</v>
      </c>
      <c r="C66" s="194" t="s">
        <v>201</v>
      </c>
      <c r="D66" s="128" t="s">
        <v>73</v>
      </c>
      <c r="E66" s="160" t="s">
        <v>122</v>
      </c>
      <c r="F66" s="151" t="s">
        <v>94</v>
      </c>
      <c r="G66" s="151" t="s">
        <v>173</v>
      </c>
      <c r="H66" s="155" t="s">
        <v>353</v>
      </c>
      <c r="I66" s="151" t="s">
        <v>173</v>
      </c>
      <c r="J66" s="156" t="s">
        <v>172</v>
      </c>
      <c r="K66" s="156" t="s">
        <v>173</v>
      </c>
      <c r="L66" s="156" t="s">
        <v>189</v>
      </c>
      <c r="M66" s="225">
        <v>10</v>
      </c>
      <c r="N66" s="189">
        <v>0.99</v>
      </c>
      <c r="O66" s="119">
        <v>1777</v>
      </c>
    </row>
    <row r="67" spans="2:15" x14ac:dyDescent="0.25">
      <c r="B67" s="118">
        <f t="shared" si="0"/>
        <v>63</v>
      </c>
      <c r="C67" s="194" t="s">
        <v>201</v>
      </c>
      <c r="D67" s="128" t="s">
        <v>74</v>
      </c>
      <c r="E67" s="160" t="s">
        <v>122</v>
      </c>
      <c r="F67" s="151" t="s">
        <v>94</v>
      </c>
      <c r="G67" s="151" t="s">
        <v>173</v>
      </c>
      <c r="H67" s="155" t="s">
        <v>353</v>
      </c>
      <c r="I67" s="151" t="s">
        <v>173</v>
      </c>
      <c r="J67" s="157" t="s">
        <v>172</v>
      </c>
      <c r="K67" s="156" t="s">
        <v>173</v>
      </c>
      <c r="L67" s="156" t="s">
        <v>189</v>
      </c>
      <c r="M67" s="225">
        <v>12</v>
      </c>
      <c r="N67" s="189">
        <v>0.99</v>
      </c>
      <c r="O67" s="119">
        <v>1114</v>
      </c>
    </row>
    <row r="68" spans="2:15" x14ac:dyDescent="0.25">
      <c r="B68" s="118">
        <f t="shared" si="0"/>
        <v>64</v>
      </c>
      <c r="C68" s="194" t="s">
        <v>201</v>
      </c>
      <c r="D68" s="128" t="s">
        <v>156</v>
      </c>
      <c r="E68" s="61" t="s">
        <v>122</v>
      </c>
      <c r="F68" s="151" t="s">
        <v>94</v>
      </c>
      <c r="G68" s="151" t="s">
        <v>173</v>
      </c>
      <c r="H68" s="155" t="s">
        <v>353</v>
      </c>
      <c r="I68" s="151" t="s">
        <v>173</v>
      </c>
      <c r="J68" s="156" t="s">
        <v>172</v>
      </c>
      <c r="K68" s="156" t="s">
        <v>173</v>
      </c>
      <c r="L68" s="156" t="s">
        <v>189</v>
      </c>
      <c r="M68" s="225">
        <v>21</v>
      </c>
      <c r="N68" s="189">
        <v>0.98</v>
      </c>
      <c r="O68" s="119">
        <v>866</v>
      </c>
    </row>
    <row r="69" spans="2:15" x14ac:dyDescent="0.25">
      <c r="B69" s="118">
        <f t="shared" si="0"/>
        <v>65</v>
      </c>
      <c r="C69" s="194" t="s">
        <v>201</v>
      </c>
      <c r="D69" s="128" t="s">
        <v>157</v>
      </c>
      <c r="E69" s="61" t="s">
        <v>122</v>
      </c>
      <c r="F69" s="151" t="s">
        <v>94</v>
      </c>
      <c r="G69" s="151" t="s">
        <v>173</v>
      </c>
      <c r="H69" s="155" t="s">
        <v>353</v>
      </c>
      <c r="I69" s="151" t="s">
        <v>173</v>
      </c>
      <c r="J69" s="156" t="s">
        <v>172</v>
      </c>
      <c r="K69" s="156" t="s">
        <v>173</v>
      </c>
      <c r="L69" s="156" t="s">
        <v>189</v>
      </c>
      <c r="M69" s="225">
        <v>32</v>
      </c>
      <c r="N69" s="189">
        <v>0.97</v>
      </c>
      <c r="O69" s="119">
        <v>1985</v>
      </c>
    </row>
    <row r="70" spans="2:15" x14ac:dyDescent="0.25">
      <c r="B70" s="118">
        <f t="shared" si="0"/>
        <v>66</v>
      </c>
      <c r="C70" s="194" t="s">
        <v>203</v>
      </c>
      <c r="D70" s="127" t="s">
        <v>37</v>
      </c>
      <c r="E70" s="160" t="s">
        <v>122</v>
      </c>
      <c r="F70" s="151" t="s">
        <v>94</v>
      </c>
      <c r="G70" s="151" t="s">
        <v>173</v>
      </c>
      <c r="H70" s="155" t="s">
        <v>353</v>
      </c>
      <c r="I70" s="151" t="s">
        <v>173</v>
      </c>
      <c r="J70" s="157" t="s">
        <v>173</v>
      </c>
      <c r="K70" s="156" t="s">
        <v>173</v>
      </c>
      <c r="L70" s="156" t="s">
        <v>189</v>
      </c>
      <c r="M70" s="225">
        <v>15</v>
      </c>
      <c r="N70" s="189">
        <v>0.99</v>
      </c>
      <c r="O70" s="119">
        <v>3505</v>
      </c>
    </row>
    <row r="71" spans="2:15" x14ac:dyDescent="0.25">
      <c r="B71" s="118">
        <f t="shared" si="0"/>
        <v>67</v>
      </c>
      <c r="C71" s="194" t="s">
        <v>203</v>
      </c>
      <c r="D71" s="127" t="s">
        <v>38</v>
      </c>
      <c r="E71" s="160" t="s">
        <v>122</v>
      </c>
      <c r="F71" s="151" t="s">
        <v>94</v>
      </c>
      <c r="G71" s="151" t="s">
        <v>173</v>
      </c>
      <c r="H71" s="155" t="s">
        <v>353</v>
      </c>
      <c r="I71" s="151" t="s">
        <v>173</v>
      </c>
      <c r="J71" s="157" t="s">
        <v>172</v>
      </c>
      <c r="K71" s="157" t="s">
        <v>173</v>
      </c>
      <c r="L71" s="156" t="s">
        <v>189</v>
      </c>
      <c r="M71" s="225">
        <v>20</v>
      </c>
      <c r="N71" s="189">
        <v>0.99</v>
      </c>
      <c r="O71" s="119">
        <v>2484</v>
      </c>
    </row>
    <row r="72" spans="2:15" x14ac:dyDescent="0.25">
      <c r="B72" s="118">
        <f t="shared" ref="B72:B89" si="1">B71+1</f>
        <v>68</v>
      </c>
      <c r="C72" s="194" t="s">
        <v>203</v>
      </c>
      <c r="D72" s="128" t="s">
        <v>175</v>
      </c>
      <c r="E72" s="160" t="s">
        <v>122</v>
      </c>
      <c r="F72" s="151" t="s">
        <v>94</v>
      </c>
      <c r="G72" s="151" t="s">
        <v>173</v>
      </c>
      <c r="H72" s="155" t="s">
        <v>353</v>
      </c>
      <c r="I72" s="151" t="s">
        <v>173</v>
      </c>
      <c r="J72" s="157" t="s">
        <v>172</v>
      </c>
      <c r="K72" s="157" t="s">
        <v>173</v>
      </c>
      <c r="L72" s="156" t="s">
        <v>189</v>
      </c>
      <c r="M72" s="225">
        <v>30</v>
      </c>
      <c r="N72" s="189">
        <v>0.98</v>
      </c>
      <c r="O72" s="119">
        <v>2771</v>
      </c>
    </row>
    <row r="73" spans="2:15" x14ac:dyDescent="0.25">
      <c r="B73" s="118">
        <f t="shared" si="1"/>
        <v>69</v>
      </c>
      <c r="C73" s="194" t="s">
        <v>201</v>
      </c>
      <c r="D73" s="148" t="s">
        <v>85</v>
      </c>
      <c r="E73" s="150" t="s">
        <v>122</v>
      </c>
      <c r="F73" s="159" t="s">
        <v>94</v>
      </c>
      <c r="G73" s="159" t="s">
        <v>172</v>
      </c>
      <c r="H73" s="159" t="s">
        <v>355</v>
      </c>
      <c r="I73" s="158" t="s">
        <v>173</v>
      </c>
      <c r="J73" s="157" t="s">
        <v>125</v>
      </c>
      <c r="K73" s="157" t="s">
        <v>173</v>
      </c>
      <c r="L73" s="156" t="s">
        <v>189</v>
      </c>
      <c r="M73" s="225" t="s">
        <v>125</v>
      </c>
      <c r="N73" s="189">
        <v>0</v>
      </c>
      <c r="O73" s="119">
        <v>5489</v>
      </c>
    </row>
    <row r="74" spans="2:15" x14ac:dyDescent="0.25">
      <c r="B74" s="118">
        <f t="shared" si="1"/>
        <v>70</v>
      </c>
      <c r="C74" s="194" t="s">
        <v>201</v>
      </c>
      <c r="D74" s="148" t="s">
        <v>86</v>
      </c>
      <c r="E74" s="150" t="s">
        <v>122</v>
      </c>
      <c r="F74" s="159" t="s">
        <v>94</v>
      </c>
      <c r="G74" s="159" t="s">
        <v>172</v>
      </c>
      <c r="H74" s="159" t="s">
        <v>355</v>
      </c>
      <c r="I74" s="158" t="s">
        <v>173</v>
      </c>
      <c r="J74" s="157" t="s">
        <v>125</v>
      </c>
      <c r="K74" s="157" t="s">
        <v>173</v>
      </c>
      <c r="L74" s="156" t="s">
        <v>189</v>
      </c>
      <c r="M74" s="225" t="s">
        <v>125</v>
      </c>
      <c r="N74" s="189">
        <v>0</v>
      </c>
      <c r="O74" s="119">
        <v>3614</v>
      </c>
    </row>
    <row r="75" spans="2:15" x14ac:dyDescent="0.25">
      <c r="B75" s="118">
        <f t="shared" si="1"/>
        <v>71</v>
      </c>
      <c r="C75" s="194" t="s">
        <v>201</v>
      </c>
      <c r="D75" s="148" t="s">
        <v>87</v>
      </c>
      <c r="E75" s="150" t="s">
        <v>122</v>
      </c>
      <c r="F75" s="159" t="s">
        <v>94</v>
      </c>
      <c r="G75" s="159" t="s">
        <v>172</v>
      </c>
      <c r="H75" s="159" t="s">
        <v>355</v>
      </c>
      <c r="I75" s="158" t="s">
        <v>173</v>
      </c>
      <c r="J75" s="157" t="s">
        <v>125</v>
      </c>
      <c r="K75" s="157" t="s">
        <v>173</v>
      </c>
      <c r="L75" s="156" t="s">
        <v>189</v>
      </c>
      <c r="M75" s="225" t="s">
        <v>125</v>
      </c>
      <c r="N75" s="189">
        <v>0</v>
      </c>
      <c r="O75" s="119">
        <v>5497</v>
      </c>
    </row>
    <row r="76" spans="2:15" x14ac:dyDescent="0.25">
      <c r="B76" s="118">
        <f t="shared" si="1"/>
        <v>72</v>
      </c>
      <c r="C76" s="196" t="s">
        <v>201</v>
      </c>
      <c r="D76" s="148" t="s">
        <v>88</v>
      </c>
      <c r="E76" s="141" t="s">
        <v>122</v>
      </c>
      <c r="F76" s="159" t="s">
        <v>94</v>
      </c>
      <c r="G76" s="159" t="s">
        <v>172</v>
      </c>
      <c r="H76" s="159" t="s">
        <v>355</v>
      </c>
      <c r="I76" s="159" t="s">
        <v>172</v>
      </c>
      <c r="J76" s="156" t="s">
        <v>172</v>
      </c>
      <c r="K76" s="156" t="s">
        <v>173</v>
      </c>
      <c r="L76" s="156" t="s">
        <v>189</v>
      </c>
      <c r="M76" s="225">
        <v>28</v>
      </c>
      <c r="N76" s="118">
        <v>0.98</v>
      </c>
      <c r="O76" s="119">
        <v>5886</v>
      </c>
    </row>
    <row r="77" spans="2:15" x14ac:dyDescent="0.25">
      <c r="B77" s="118">
        <f t="shared" si="1"/>
        <v>73</v>
      </c>
      <c r="C77" s="194" t="s">
        <v>201</v>
      </c>
      <c r="D77" s="148" t="s">
        <v>89</v>
      </c>
      <c r="E77" s="150" t="s">
        <v>122</v>
      </c>
      <c r="F77" s="159" t="s">
        <v>94</v>
      </c>
      <c r="G77" s="159" t="s">
        <v>172</v>
      </c>
      <c r="H77" s="159" t="s">
        <v>355</v>
      </c>
      <c r="I77" s="158" t="s">
        <v>173</v>
      </c>
      <c r="J77" s="157" t="s">
        <v>125</v>
      </c>
      <c r="K77" s="157" t="s">
        <v>173</v>
      </c>
      <c r="L77" s="156" t="s">
        <v>189</v>
      </c>
      <c r="M77" s="225" t="s">
        <v>125</v>
      </c>
      <c r="N77" s="191">
        <v>0</v>
      </c>
      <c r="O77" s="119">
        <v>1079</v>
      </c>
    </row>
    <row r="78" spans="2:15" x14ac:dyDescent="0.25">
      <c r="B78" s="118">
        <f t="shared" si="1"/>
        <v>74</v>
      </c>
      <c r="C78" s="194" t="s">
        <v>201</v>
      </c>
      <c r="D78" s="148" t="s">
        <v>90</v>
      </c>
      <c r="E78" s="150" t="s">
        <v>122</v>
      </c>
      <c r="F78" s="159" t="s">
        <v>94</v>
      </c>
      <c r="G78" s="159" t="s">
        <v>172</v>
      </c>
      <c r="H78" s="159" t="s">
        <v>355</v>
      </c>
      <c r="I78" s="158" t="s">
        <v>173</v>
      </c>
      <c r="J78" s="157" t="s">
        <v>125</v>
      </c>
      <c r="K78" s="157" t="s">
        <v>173</v>
      </c>
      <c r="L78" s="156" t="s">
        <v>189</v>
      </c>
      <c r="M78" s="225" t="s">
        <v>125</v>
      </c>
      <c r="N78" s="191">
        <v>0</v>
      </c>
      <c r="O78" s="119">
        <v>3613</v>
      </c>
    </row>
    <row r="79" spans="2:15" x14ac:dyDescent="0.25">
      <c r="B79" s="118">
        <f t="shared" si="1"/>
        <v>75</v>
      </c>
      <c r="C79" s="194" t="s">
        <v>202</v>
      </c>
      <c r="D79" s="140" t="s">
        <v>119</v>
      </c>
      <c r="E79" s="141" t="s">
        <v>122</v>
      </c>
      <c r="F79" s="159" t="s">
        <v>94</v>
      </c>
      <c r="G79" s="159" t="s">
        <v>172</v>
      </c>
      <c r="H79" s="159" t="s">
        <v>355</v>
      </c>
      <c r="I79" s="159" t="s">
        <v>173</v>
      </c>
      <c r="J79" s="156" t="s">
        <v>172</v>
      </c>
      <c r="K79" s="156" t="s">
        <v>173</v>
      </c>
      <c r="L79" s="156" t="s">
        <v>189</v>
      </c>
      <c r="M79" s="225">
        <v>20</v>
      </c>
      <c r="N79" s="191">
        <v>0</v>
      </c>
      <c r="O79" s="119">
        <v>1007</v>
      </c>
    </row>
    <row r="80" spans="2:15" x14ac:dyDescent="0.25">
      <c r="B80" s="118">
        <f t="shared" si="1"/>
        <v>76</v>
      </c>
      <c r="C80" s="194" t="s">
        <v>202</v>
      </c>
      <c r="D80" s="140" t="s">
        <v>164</v>
      </c>
      <c r="E80" s="141" t="s">
        <v>122</v>
      </c>
      <c r="F80" s="159" t="s">
        <v>94</v>
      </c>
      <c r="G80" s="159" t="s">
        <v>172</v>
      </c>
      <c r="H80" s="159" t="s">
        <v>355</v>
      </c>
      <c r="I80" s="159" t="s">
        <v>173</v>
      </c>
      <c r="J80" s="156" t="s">
        <v>172</v>
      </c>
      <c r="K80" s="156" t="s">
        <v>173</v>
      </c>
      <c r="L80" s="156" t="s">
        <v>189</v>
      </c>
      <c r="M80" s="225">
        <v>45</v>
      </c>
      <c r="N80" s="191">
        <v>0</v>
      </c>
      <c r="O80" s="119">
        <v>3284</v>
      </c>
    </row>
    <row r="81" spans="2:19" x14ac:dyDescent="0.25">
      <c r="B81" s="118">
        <f t="shared" si="1"/>
        <v>77</v>
      </c>
      <c r="C81" s="196" t="s">
        <v>202</v>
      </c>
      <c r="D81" s="140" t="s">
        <v>120</v>
      </c>
      <c r="E81" s="141" t="s">
        <v>122</v>
      </c>
      <c r="F81" s="159" t="s">
        <v>94</v>
      </c>
      <c r="G81" s="159" t="s">
        <v>172</v>
      </c>
      <c r="H81" s="159" t="s">
        <v>355</v>
      </c>
      <c r="I81" s="159" t="s">
        <v>173</v>
      </c>
      <c r="J81" s="156" t="s">
        <v>172</v>
      </c>
      <c r="K81" s="156" t="s">
        <v>173</v>
      </c>
      <c r="L81" s="156" t="s">
        <v>189</v>
      </c>
      <c r="M81" s="225">
        <v>39</v>
      </c>
      <c r="N81" s="189">
        <v>0</v>
      </c>
      <c r="O81" s="119">
        <v>1202</v>
      </c>
    </row>
    <row r="82" spans="2:19" x14ac:dyDescent="0.25">
      <c r="B82" s="118">
        <f t="shared" si="1"/>
        <v>78</v>
      </c>
      <c r="C82" s="196" t="s">
        <v>202</v>
      </c>
      <c r="D82" s="140" t="s">
        <v>121</v>
      </c>
      <c r="E82" s="141" t="s">
        <v>122</v>
      </c>
      <c r="F82" s="159" t="s">
        <v>94</v>
      </c>
      <c r="G82" s="159" t="s">
        <v>172</v>
      </c>
      <c r="H82" s="159" t="s">
        <v>355</v>
      </c>
      <c r="I82" s="159" t="s">
        <v>173</v>
      </c>
      <c r="J82" s="156" t="s">
        <v>172</v>
      </c>
      <c r="K82" s="156" t="s">
        <v>173</v>
      </c>
      <c r="L82" s="156" t="s">
        <v>189</v>
      </c>
      <c r="M82" s="225">
        <v>35</v>
      </c>
      <c r="N82" s="189">
        <v>0</v>
      </c>
      <c r="O82" s="119">
        <v>703</v>
      </c>
    </row>
    <row r="83" spans="2:19" x14ac:dyDescent="0.25">
      <c r="B83" s="118">
        <f t="shared" si="1"/>
        <v>79</v>
      </c>
      <c r="C83" s="195" t="s">
        <v>203</v>
      </c>
      <c r="D83" s="127" t="s">
        <v>35</v>
      </c>
      <c r="E83" s="61" t="s">
        <v>76</v>
      </c>
      <c r="F83" s="129" t="s">
        <v>123</v>
      </c>
      <c r="G83" s="151" t="s">
        <v>173</v>
      </c>
      <c r="H83" s="155" t="s">
        <v>353</v>
      </c>
      <c r="I83" s="157" t="s">
        <v>125</v>
      </c>
      <c r="J83" s="157" t="s">
        <v>125</v>
      </c>
      <c r="K83" s="157" t="s">
        <v>173</v>
      </c>
      <c r="L83" s="156" t="s">
        <v>189</v>
      </c>
      <c r="M83" s="225" t="s">
        <v>125</v>
      </c>
      <c r="N83" s="189">
        <v>0</v>
      </c>
      <c r="O83" s="119">
        <v>928</v>
      </c>
    </row>
    <row r="84" spans="2:19" x14ac:dyDescent="0.25">
      <c r="B84" s="118">
        <f t="shared" si="1"/>
        <v>80</v>
      </c>
      <c r="C84" s="194" t="s">
        <v>203</v>
      </c>
      <c r="D84" s="127" t="s">
        <v>34</v>
      </c>
      <c r="E84" s="61" t="s">
        <v>76</v>
      </c>
      <c r="F84" s="129" t="s">
        <v>123</v>
      </c>
      <c r="G84" s="151" t="s">
        <v>173</v>
      </c>
      <c r="H84" s="155" t="s">
        <v>353</v>
      </c>
      <c r="I84" s="157" t="s">
        <v>125</v>
      </c>
      <c r="J84" s="157" t="s">
        <v>125</v>
      </c>
      <c r="K84" s="157" t="s">
        <v>173</v>
      </c>
      <c r="L84" s="156" t="s">
        <v>189</v>
      </c>
      <c r="M84" s="225" t="s">
        <v>125</v>
      </c>
      <c r="N84" s="189">
        <v>0</v>
      </c>
      <c r="O84" s="119">
        <v>2851</v>
      </c>
    </row>
    <row r="85" spans="2:19" x14ac:dyDescent="0.25">
      <c r="B85" s="118">
        <f t="shared" si="1"/>
        <v>81</v>
      </c>
      <c r="C85" s="196" t="s">
        <v>203</v>
      </c>
      <c r="D85" s="127" t="s">
        <v>36</v>
      </c>
      <c r="E85" s="61" t="s">
        <v>76</v>
      </c>
      <c r="F85" s="129" t="s">
        <v>123</v>
      </c>
      <c r="G85" s="151" t="s">
        <v>173</v>
      </c>
      <c r="H85" s="155" t="s">
        <v>353</v>
      </c>
      <c r="I85" s="157" t="s">
        <v>125</v>
      </c>
      <c r="J85" s="157" t="s">
        <v>125</v>
      </c>
      <c r="K85" s="157" t="s">
        <v>173</v>
      </c>
      <c r="L85" s="156" t="s">
        <v>189</v>
      </c>
      <c r="M85" s="225" t="s">
        <v>125</v>
      </c>
      <c r="N85" s="189">
        <v>0</v>
      </c>
      <c r="O85" s="119">
        <v>559</v>
      </c>
    </row>
    <row r="86" spans="2:19" x14ac:dyDescent="0.25">
      <c r="B86" s="118">
        <f t="shared" si="1"/>
        <v>82</v>
      </c>
      <c r="C86" s="255" t="s">
        <v>200</v>
      </c>
      <c r="D86" s="128" t="s">
        <v>357</v>
      </c>
      <c r="E86" s="61" t="s">
        <v>76</v>
      </c>
      <c r="F86" s="129" t="s">
        <v>123</v>
      </c>
      <c r="G86" s="151" t="s">
        <v>173</v>
      </c>
      <c r="H86" s="155" t="s">
        <v>355</v>
      </c>
      <c r="I86" s="157" t="s">
        <v>125</v>
      </c>
      <c r="J86" s="157" t="s">
        <v>125</v>
      </c>
      <c r="K86" s="157" t="s">
        <v>173</v>
      </c>
      <c r="L86" s="156"/>
      <c r="M86" s="225"/>
      <c r="N86" s="189"/>
      <c r="O86" s="119"/>
    </row>
    <row r="87" spans="2:19" x14ac:dyDescent="0.25">
      <c r="B87" s="118">
        <f t="shared" si="1"/>
        <v>83</v>
      </c>
      <c r="C87" s="255" t="s">
        <v>200</v>
      </c>
      <c r="D87" s="128" t="s">
        <v>357</v>
      </c>
      <c r="E87" s="61" t="s">
        <v>76</v>
      </c>
      <c r="F87" s="129" t="s">
        <v>123</v>
      </c>
      <c r="G87" s="151" t="s">
        <v>173</v>
      </c>
      <c r="H87" s="155" t="s">
        <v>355</v>
      </c>
      <c r="I87" s="157" t="s">
        <v>125</v>
      </c>
      <c r="J87" s="157" t="s">
        <v>125</v>
      </c>
      <c r="K87" s="157" t="s">
        <v>173</v>
      </c>
      <c r="L87" s="156"/>
      <c r="M87" s="225"/>
      <c r="N87" s="189"/>
      <c r="O87" s="119"/>
    </row>
    <row r="88" spans="2:19" x14ac:dyDescent="0.25">
      <c r="B88" s="118">
        <f t="shared" si="1"/>
        <v>84</v>
      </c>
      <c r="C88" s="255" t="s">
        <v>203</v>
      </c>
      <c r="D88" s="128" t="s">
        <v>379</v>
      </c>
      <c r="E88" s="61" t="s">
        <v>122</v>
      </c>
      <c r="F88" s="155" t="s">
        <v>94</v>
      </c>
      <c r="G88" s="155" t="s">
        <v>172</v>
      </c>
      <c r="H88" s="155" t="s">
        <v>355</v>
      </c>
      <c r="I88" s="155" t="s">
        <v>173</v>
      </c>
      <c r="J88" s="156" t="s">
        <v>172</v>
      </c>
      <c r="K88" s="156" t="s">
        <v>173</v>
      </c>
      <c r="L88" s="156" t="s">
        <v>189</v>
      </c>
      <c r="M88" s="225">
        <v>39</v>
      </c>
      <c r="N88" s="189">
        <v>0</v>
      </c>
      <c r="O88" s="119">
        <v>1202</v>
      </c>
    </row>
    <row r="89" spans="2:19" x14ac:dyDescent="0.25">
      <c r="B89" s="118">
        <f t="shared" si="1"/>
        <v>85</v>
      </c>
      <c r="C89" s="255" t="s">
        <v>203</v>
      </c>
      <c r="D89" s="128" t="s">
        <v>380</v>
      </c>
      <c r="E89" s="61" t="s">
        <v>122</v>
      </c>
      <c r="F89" s="155" t="s">
        <v>94</v>
      </c>
      <c r="G89" s="155" t="s">
        <v>172</v>
      </c>
      <c r="H89" s="155" t="s">
        <v>355</v>
      </c>
      <c r="I89" s="155" t="s">
        <v>173</v>
      </c>
      <c r="J89" s="156" t="s">
        <v>172</v>
      </c>
      <c r="K89" s="156" t="s">
        <v>173</v>
      </c>
      <c r="L89" s="156" t="s">
        <v>189</v>
      </c>
      <c r="M89" s="225">
        <v>35</v>
      </c>
      <c r="N89" s="189">
        <v>0</v>
      </c>
      <c r="O89" s="119">
        <v>703</v>
      </c>
    </row>
    <row r="90" spans="2:19" x14ac:dyDescent="0.25">
      <c r="B90" s="187"/>
      <c r="C90" s="306"/>
      <c r="D90" s="307"/>
      <c r="E90" s="64"/>
      <c r="F90" s="142"/>
      <c r="G90" s="308"/>
      <c r="H90" s="309"/>
      <c r="I90" s="299"/>
      <c r="J90" s="299"/>
      <c r="K90" s="299"/>
      <c r="L90" s="310"/>
      <c r="M90" s="311"/>
      <c r="N90" s="312"/>
      <c r="O90" s="313"/>
    </row>
    <row r="91" spans="2:19" x14ac:dyDescent="0.25">
      <c r="B91" s="187"/>
      <c r="C91" s="306"/>
      <c r="D91" s="307"/>
      <c r="E91" s="64"/>
      <c r="F91" s="142"/>
      <c r="G91" s="308"/>
      <c r="H91" s="309"/>
      <c r="I91" s="299"/>
      <c r="J91" s="299"/>
      <c r="K91" s="299"/>
      <c r="L91" s="310"/>
      <c r="M91" s="311"/>
      <c r="N91" s="312"/>
      <c r="O91" s="313"/>
    </row>
    <row r="92" spans="2:19" x14ac:dyDescent="0.25">
      <c r="N92" s="143"/>
      <c r="O92" s="217">
        <f>SUM(O5:O85)</f>
        <v>243622</v>
      </c>
    </row>
    <row r="94" spans="2:19" x14ac:dyDescent="0.25">
      <c r="B94" s="156" t="s">
        <v>70</v>
      </c>
      <c r="C94" s="156" t="s">
        <v>275</v>
      </c>
      <c r="D94" s="157" t="s">
        <v>150</v>
      </c>
      <c r="E94" s="156" t="s">
        <v>72</v>
      </c>
      <c r="F94" s="156" t="s">
        <v>279</v>
      </c>
      <c r="G94" s="156" t="s">
        <v>163</v>
      </c>
      <c r="H94" s="156" t="s">
        <v>283</v>
      </c>
      <c r="J94" s="156" t="s">
        <v>153</v>
      </c>
      <c r="K94" s="156" t="s">
        <v>154</v>
      </c>
      <c r="L94" s="156" t="s">
        <v>159</v>
      </c>
      <c r="M94" s="155" t="s">
        <v>124</v>
      </c>
    </row>
    <row r="95" spans="2:19" ht="14.4" x14ac:dyDescent="0.3">
      <c r="B95" s="118">
        <v>1</v>
      </c>
      <c r="C95" s="118" t="s">
        <v>269</v>
      </c>
      <c r="D95" s="152" t="s">
        <v>126</v>
      </c>
      <c r="E95" s="141" t="s">
        <v>122</v>
      </c>
      <c r="F95" s="158" t="s">
        <v>94</v>
      </c>
      <c r="G95" s="158" t="s">
        <v>172</v>
      </c>
      <c r="H95" s="158" t="s">
        <v>354</v>
      </c>
      <c r="I95" s="158"/>
      <c r="J95" s="157"/>
      <c r="K95" s="157">
        <v>0.98</v>
      </c>
      <c r="L95" s="118"/>
      <c r="M95" s="144"/>
      <c r="O95" s="197" t="s">
        <v>275</v>
      </c>
      <c r="P95" s="198" t="s">
        <v>277</v>
      </c>
      <c r="Q95" s="198" t="s">
        <v>278</v>
      </c>
      <c r="R95" s="198" t="s">
        <v>282</v>
      </c>
      <c r="S95" s="198" t="s">
        <v>170</v>
      </c>
    </row>
    <row r="96" spans="2:19" x14ac:dyDescent="0.25">
      <c r="B96" s="118">
        <f>B95+1</f>
        <v>2</v>
      </c>
      <c r="C96" s="118" t="s">
        <v>269</v>
      </c>
      <c r="D96" s="152" t="s">
        <v>127</v>
      </c>
      <c r="E96" s="141" t="s">
        <v>122</v>
      </c>
      <c r="F96" s="158" t="s">
        <v>94</v>
      </c>
      <c r="G96" s="158" t="s">
        <v>172</v>
      </c>
      <c r="H96" s="158" t="s">
        <v>354</v>
      </c>
      <c r="I96" s="158"/>
      <c r="J96" s="157"/>
      <c r="K96" s="157">
        <v>0.99</v>
      </c>
      <c r="L96" s="118"/>
      <c r="M96" s="144"/>
      <c r="O96" s="5" t="s">
        <v>198</v>
      </c>
      <c r="P96" s="118">
        <v>28</v>
      </c>
      <c r="Q96" s="118">
        <v>4</v>
      </c>
      <c r="R96" s="118">
        <v>0</v>
      </c>
      <c r="S96" s="118">
        <f>SUBTOTAL(9,P96:R96)</f>
        <v>32</v>
      </c>
    </row>
    <row r="97" spans="2:20" x14ac:dyDescent="0.25">
      <c r="B97" s="118">
        <f t="shared" ref="B97:B119" si="2">B96+1</f>
        <v>3</v>
      </c>
      <c r="C97" s="118" t="s">
        <v>269</v>
      </c>
      <c r="D97" s="152" t="s">
        <v>128</v>
      </c>
      <c r="E97" s="141" t="s">
        <v>122</v>
      </c>
      <c r="F97" s="158" t="s">
        <v>94</v>
      </c>
      <c r="G97" s="158" t="s">
        <v>172</v>
      </c>
      <c r="H97" s="158" t="s">
        <v>354</v>
      </c>
      <c r="I97" s="158"/>
      <c r="J97" s="157"/>
      <c r="K97" s="157">
        <v>0.98</v>
      </c>
      <c r="L97" s="118"/>
      <c r="M97" s="144"/>
      <c r="O97" s="5" t="s">
        <v>197</v>
      </c>
      <c r="P97" s="118">
        <v>2</v>
      </c>
      <c r="Q97" s="118">
        <v>0</v>
      </c>
      <c r="R97" s="118">
        <v>9</v>
      </c>
      <c r="S97" s="118">
        <f t="shared" ref="S97:S102" si="3">SUBTOTAL(9,P97:R97)</f>
        <v>11</v>
      </c>
    </row>
    <row r="98" spans="2:20" x14ac:dyDescent="0.25">
      <c r="B98" s="118">
        <f t="shared" si="2"/>
        <v>4</v>
      </c>
      <c r="C98" s="118" t="s">
        <v>269</v>
      </c>
      <c r="D98" s="152" t="s">
        <v>129</v>
      </c>
      <c r="E98" s="141" t="s">
        <v>122</v>
      </c>
      <c r="F98" s="158" t="s">
        <v>94</v>
      </c>
      <c r="G98" s="158" t="s">
        <v>172</v>
      </c>
      <c r="H98" s="158" t="s">
        <v>354</v>
      </c>
      <c r="I98" s="158"/>
      <c r="J98" s="157"/>
      <c r="K98" s="157">
        <v>0.99</v>
      </c>
      <c r="L98" s="118"/>
      <c r="M98" s="5"/>
      <c r="O98" s="5" t="s">
        <v>199</v>
      </c>
      <c r="P98" s="118">
        <v>7</v>
      </c>
      <c r="Q98" s="118">
        <v>0</v>
      </c>
      <c r="R98" s="118">
        <v>0</v>
      </c>
      <c r="S98" s="118">
        <f t="shared" si="3"/>
        <v>7</v>
      </c>
    </row>
    <row r="99" spans="2:20" x14ac:dyDescent="0.25">
      <c r="B99" s="118">
        <f t="shared" si="2"/>
        <v>5</v>
      </c>
      <c r="C99" s="118" t="s">
        <v>269</v>
      </c>
      <c r="D99" s="152" t="s">
        <v>130</v>
      </c>
      <c r="E99" s="141" t="s">
        <v>122</v>
      </c>
      <c r="F99" s="158" t="s">
        <v>94</v>
      </c>
      <c r="G99" s="158" t="s">
        <v>172</v>
      </c>
      <c r="H99" s="158" t="s">
        <v>354</v>
      </c>
      <c r="I99" s="158"/>
      <c r="J99" s="157"/>
      <c r="K99" s="157">
        <v>0.98</v>
      </c>
      <c r="L99" s="118"/>
      <c r="M99" s="5"/>
      <c r="O99" s="5" t="s">
        <v>200</v>
      </c>
      <c r="P99" s="118">
        <v>6</v>
      </c>
      <c r="Q99" s="118">
        <v>3</v>
      </c>
      <c r="R99" s="118">
        <v>0</v>
      </c>
      <c r="S99" s="118">
        <f t="shared" si="3"/>
        <v>9</v>
      </c>
    </row>
    <row r="100" spans="2:20" x14ac:dyDescent="0.25">
      <c r="B100" s="118">
        <f t="shared" si="2"/>
        <v>6</v>
      </c>
      <c r="C100" s="118" t="s">
        <v>269</v>
      </c>
      <c r="D100" s="130" t="s">
        <v>131</v>
      </c>
      <c r="E100" s="5" t="s">
        <v>76</v>
      </c>
      <c r="F100" s="158" t="s">
        <v>94</v>
      </c>
      <c r="G100" s="158" t="s">
        <v>172</v>
      </c>
      <c r="H100" s="157" t="s">
        <v>354</v>
      </c>
      <c r="I100" s="149"/>
      <c r="J100" s="157"/>
      <c r="K100" s="157">
        <v>0.98</v>
      </c>
      <c r="L100" s="118"/>
      <c r="M100" s="5"/>
      <c r="O100" s="5" t="s">
        <v>201</v>
      </c>
      <c r="P100" s="118">
        <v>5</v>
      </c>
      <c r="Q100" s="118">
        <v>0</v>
      </c>
      <c r="R100" s="118">
        <v>0</v>
      </c>
      <c r="S100" s="118">
        <f t="shared" si="3"/>
        <v>5</v>
      </c>
    </row>
    <row r="101" spans="2:20" x14ac:dyDescent="0.25">
      <c r="B101" s="118">
        <f t="shared" si="2"/>
        <v>7</v>
      </c>
      <c r="C101" s="118" t="s">
        <v>269</v>
      </c>
      <c r="D101" s="152" t="s">
        <v>132</v>
      </c>
      <c r="E101" s="141" t="s">
        <v>122</v>
      </c>
      <c r="F101" s="158" t="s">
        <v>94</v>
      </c>
      <c r="G101" s="158" t="s">
        <v>172</v>
      </c>
      <c r="H101" s="158"/>
      <c r="I101" s="158"/>
      <c r="J101" s="157"/>
      <c r="K101" s="157">
        <v>0.98</v>
      </c>
      <c r="L101" s="118"/>
      <c r="M101" s="5"/>
      <c r="O101" s="5" t="s">
        <v>203</v>
      </c>
      <c r="P101" s="118">
        <v>3</v>
      </c>
      <c r="Q101" s="118">
        <v>0</v>
      </c>
      <c r="R101" s="118">
        <v>3</v>
      </c>
      <c r="S101" s="118">
        <f t="shared" si="3"/>
        <v>6</v>
      </c>
    </row>
    <row r="102" spans="2:20" x14ac:dyDescent="0.25">
      <c r="B102" s="118">
        <f t="shared" si="2"/>
        <v>8</v>
      </c>
      <c r="C102" s="118" t="s">
        <v>269</v>
      </c>
      <c r="D102" s="152" t="s">
        <v>133</v>
      </c>
      <c r="E102" s="141" t="s">
        <v>122</v>
      </c>
      <c r="F102" s="158" t="s">
        <v>94</v>
      </c>
      <c r="G102" s="158" t="s">
        <v>172</v>
      </c>
      <c r="H102" s="158" t="s">
        <v>354</v>
      </c>
      <c r="I102" s="158"/>
      <c r="J102" s="157"/>
      <c r="K102" s="157">
        <v>0.95</v>
      </c>
      <c r="L102" s="118"/>
      <c r="M102" s="5"/>
      <c r="O102" s="5" t="s">
        <v>202</v>
      </c>
      <c r="P102" s="118">
        <v>0</v>
      </c>
      <c r="Q102" s="118">
        <v>0</v>
      </c>
      <c r="R102" s="118">
        <v>0</v>
      </c>
      <c r="S102" s="118">
        <f t="shared" si="3"/>
        <v>0</v>
      </c>
    </row>
    <row r="103" spans="2:20" x14ac:dyDescent="0.25">
      <c r="B103" s="118">
        <f t="shared" si="2"/>
        <v>9</v>
      </c>
      <c r="C103" s="118" t="s">
        <v>270</v>
      </c>
      <c r="D103" s="130" t="s">
        <v>134</v>
      </c>
      <c r="E103" s="5" t="s">
        <v>76</v>
      </c>
      <c r="F103" s="118" t="s">
        <v>123</v>
      </c>
      <c r="G103" s="157" t="s">
        <v>125</v>
      </c>
      <c r="H103" s="157" t="s">
        <v>354</v>
      </c>
      <c r="I103" s="118"/>
      <c r="J103" s="157"/>
      <c r="K103" s="157" t="s">
        <v>192</v>
      </c>
      <c r="L103" s="118"/>
      <c r="M103" s="5"/>
      <c r="O103" s="61" t="s">
        <v>170</v>
      </c>
      <c r="P103" s="118">
        <f>SUBTOTAL(9,P96:P102)</f>
        <v>51</v>
      </c>
      <c r="Q103" s="118">
        <f>SUBTOTAL(9,Q96:Q102)</f>
        <v>7</v>
      </c>
      <c r="R103" s="118">
        <f>SUBTOTAL(9,R96:R102)</f>
        <v>12</v>
      </c>
      <c r="S103" s="118">
        <f>SUM(P103:R103)</f>
        <v>70</v>
      </c>
    </row>
    <row r="104" spans="2:20" x14ac:dyDescent="0.25">
      <c r="B104" s="118">
        <f t="shared" si="2"/>
        <v>10</v>
      </c>
      <c r="C104" s="118" t="s">
        <v>270</v>
      </c>
      <c r="D104" s="130" t="s">
        <v>135</v>
      </c>
      <c r="E104" s="5" t="s">
        <v>76</v>
      </c>
      <c r="F104" s="118" t="s">
        <v>123</v>
      </c>
      <c r="G104" s="157" t="s">
        <v>125</v>
      </c>
      <c r="H104" s="157" t="s">
        <v>354</v>
      </c>
      <c r="I104" s="118"/>
      <c r="J104" s="157"/>
      <c r="K104" s="157" t="s">
        <v>192</v>
      </c>
      <c r="L104" s="118"/>
      <c r="M104" s="5"/>
    </row>
    <row r="105" spans="2:20" x14ac:dyDescent="0.25">
      <c r="B105" s="118">
        <f t="shared" si="2"/>
        <v>11</v>
      </c>
      <c r="C105" s="187" t="s">
        <v>271</v>
      </c>
      <c r="D105" s="154" t="s">
        <v>158</v>
      </c>
      <c r="E105" s="141" t="s">
        <v>122</v>
      </c>
      <c r="F105" s="158" t="s">
        <v>94</v>
      </c>
      <c r="G105" s="158" t="s">
        <v>172</v>
      </c>
      <c r="H105" s="158" t="s">
        <v>354</v>
      </c>
      <c r="I105" s="158"/>
      <c r="J105" s="157"/>
      <c r="K105" s="157">
        <v>0.97</v>
      </c>
      <c r="L105" s="118"/>
      <c r="M105" s="5"/>
    </row>
    <row r="106" spans="2:20" x14ac:dyDescent="0.25">
      <c r="B106" s="118">
        <f t="shared" si="2"/>
        <v>12</v>
      </c>
      <c r="C106" s="118" t="s">
        <v>270</v>
      </c>
      <c r="D106" s="130" t="s">
        <v>136</v>
      </c>
      <c r="E106" s="5" t="s">
        <v>76</v>
      </c>
      <c r="F106" s="118" t="s">
        <v>123</v>
      </c>
      <c r="G106" s="157" t="s">
        <v>125</v>
      </c>
      <c r="H106" s="157" t="s">
        <v>354</v>
      </c>
      <c r="I106" s="118"/>
      <c r="J106" s="157"/>
      <c r="K106" s="157" t="s">
        <v>192</v>
      </c>
      <c r="L106" s="118"/>
      <c r="M106" s="5"/>
    </row>
    <row r="107" spans="2:20" x14ac:dyDescent="0.25">
      <c r="B107" s="118">
        <f t="shared" si="2"/>
        <v>13</v>
      </c>
      <c r="C107" s="118" t="s">
        <v>272</v>
      </c>
      <c r="D107" s="131" t="s">
        <v>137</v>
      </c>
      <c r="E107" s="61" t="s">
        <v>122</v>
      </c>
      <c r="F107" s="161" t="s">
        <v>94</v>
      </c>
      <c r="G107" s="172" t="s">
        <v>123</v>
      </c>
      <c r="H107" s="172" t="s">
        <v>354</v>
      </c>
      <c r="I107" s="161"/>
      <c r="J107" s="157"/>
      <c r="K107" s="157">
        <v>0.99</v>
      </c>
      <c r="L107" s="118"/>
      <c r="M107" s="118"/>
    </row>
    <row r="108" spans="2:20" x14ac:dyDescent="0.25">
      <c r="B108" s="118">
        <f t="shared" si="2"/>
        <v>14</v>
      </c>
      <c r="C108" s="118" t="s">
        <v>272</v>
      </c>
      <c r="D108" s="131" t="s">
        <v>138</v>
      </c>
      <c r="E108" s="61" t="s">
        <v>122</v>
      </c>
      <c r="F108" s="149" t="s">
        <v>94</v>
      </c>
      <c r="G108" s="172" t="s">
        <v>123</v>
      </c>
      <c r="H108" s="172" t="s">
        <v>354</v>
      </c>
      <c r="I108" s="149"/>
      <c r="J108" s="157"/>
      <c r="K108" s="157">
        <v>0.97</v>
      </c>
      <c r="L108" s="118"/>
      <c r="M108" s="5"/>
    </row>
    <row r="109" spans="2:20" ht="14.4" x14ac:dyDescent="0.3">
      <c r="B109" s="118">
        <f t="shared" si="2"/>
        <v>15</v>
      </c>
      <c r="C109" s="118" t="s">
        <v>273</v>
      </c>
      <c r="D109" s="153" t="s">
        <v>139</v>
      </c>
      <c r="E109" s="141" t="s">
        <v>122</v>
      </c>
      <c r="F109" s="158" t="s">
        <v>94</v>
      </c>
      <c r="G109" s="158" t="s">
        <v>172</v>
      </c>
      <c r="H109" s="158" t="s">
        <v>354</v>
      </c>
      <c r="I109" s="158"/>
      <c r="J109" s="157"/>
      <c r="K109" s="157">
        <v>0.97</v>
      </c>
      <c r="L109" s="118"/>
      <c r="M109" s="5"/>
      <c r="O109" s="197" t="s">
        <v>275</v>
      </c>
      <c r="P109" s="204" t="s">
        <v>279</v>
      </c>
      <c r="Q109" s="204" t="s">
        <v>163</v>
      </c>
      <c r="R109" s="204" t="s">
        <v>293</v>
      </c>
      <c r="S109" s="204" t="s">
        <v>188</v>
      </c>
      <c r="T109" s="169" t="s">
        <v>174</v>
      </c>
    </row>
    <row r="110" spans="2:20" x14ac:dyDescent="0.25">
      <c r="B110" s="118">
        <f t="shared" si="2"/>
        <v>16</v>
      </c>
      <c r="C110" s="118" t="s">
        <v>273</v>
      </c>
      <c r="D110" s="131" t="s">
        <v>140</v>
      </c>
      <c r="E110" s="61" t="s">
        <v>76</v>
      </c>
      <c r="F110" s="172" t="s">
        <v>123</v>
      </c>
      <c r="G110" s="172" t="s">
        <v>172</v>
      </c>
      <c r="H110" s="172" t="s">
        <v>354</v>
      </c>
      <c r="I110" s="172"/>
      <c r="J110" s="157"/>
      <c r="K110" s="157" t="s">
        <v>192</v>
      </c>
      <c r="L110" s="118"/>
      <c r="M110" s="5"/>
      <c r="O110" s="5" t="s">
        <v>198</v>
      </c>
      <c r="P110" s="118">
        <v>32</v>
      </c>
      <c r="Q110" s="118">
        <v>31</v>
      </c>
      <c r="R110" s="118">
        <v>9</v>
      </c>
      <c r="S110" s="118">
        <v>11</v>
      </c>
      <c r="T110" s="118">
        <v>4</v>
      </c>
    </row>
    <row r="111" spans="2:20" x14ac:dyDescent="0.25">
      <c r="B111" s="118">
        <f t="shared" si="2"/>
        <v>17</v>
      </c>
      <c r="C111" s="118" t="s">
        <v>271</v>
      </c>
      <c r="D111" s="130" t="s">
        <v>141</v>
      </c>
      <c r="E111" s="61" t="s">
        <v>76</v>
      </c>
      <c r="F111" s="172" t="s">
        <v>123</v>
      </c>
      <c r="G111" s="172" t="s">
        <v>172</v>
      </c>
      <c r="H111" s="172" t="s">
        <v>354</v>
      </c>
      <c r="I111" s="172"/>
      <c r="J111" s="157"/>
      <c r="K111" s="157">
        <v>0.98</v>
      </c>
      <c r="L111" s="118"/>
      <c r="M111" s="5"/>
      <c r="O111" s="5" t="s">
        <v>197</v>
      </c>
      <c r="P111" s="118">
        <v>2</v>
      </c>
      <c r="Q111" s="118">
        <v>0</v>
      </c>
      <c r="R111" s="118">
        <v>1</v>
      </c>
      <c r="S111" s="118">
        <v>1</v>
      </c>
      <c r="T111" s="118">
        <v>1</v>
      </c>
    </row>
    <row r="112" spans="2:20" x14ac:dyDescent="0.25">
      <c r="B112" s="118">
        <f t="shared" si="2"/>
        <v>18</v>
      </c>
      <c r="C112" s="118" t="s">
        <v>271</v>
      </c>
      <c r="D112" s="130" t="s">
        <v>142</v>
      </c>
      <c r="E112" s="61" t="s">
        <v>76</v>
      </c>
      <c r="F112" s="149" t="s">
        <v>123</v>
      </c>
      <c r="G112" s="172" t="s">
        <v>172</v>
      </c>
      <c r="H112" s="172" t="s">
        <v>354</v>
      </c>
      <c r="I112" s="149"/>
      <c r="J112" s="157"/>
      <c r="K112" s="157">
        <v>0.99</v>
      </c>
      <c r="L112" s="118"/>
      <c r="M112" s="5"/>
      <c r="O112" s="5" t="s">
        <v>199</v>
      </c>
      <c r="P112" s="118">
        <v>7</v>
      </c>
      <c r="Q112" s="118">
        <v>8</v>
      </c>
      <c r="R112" s="118">
        <v>0</v>
      </c>
      <c r="S112" s="118">
        <v>4</v>
      </c>
      <c r="T112" s="118">
        <v>0</v>
      </c>
    </row>
    <row r="113" spans="2:20" x14ac:dyDescent="0.25">
      <c r="B113" s="118">
        <f t="shared" si="2"/>
        <v>19</v>
      </c>
      <c r="C113" s="118" t="s">
        <v>271</v>
      </c>
      <c r="D113" s="130" t="s">
        <v>143</v>
      </c>
      <c r="E113" s="61" t="s">
        <v>122</v>
      </c>
      <c r="F113" s="149" t="s">
        <v>123</v>
      </c>
      <c r="G113" s="172" t="s">
        <v>172</v>
      </c>
      <c r="H113" s="172" t="s">
        <v>354</v>
      </c>
      <c r="I113" s="149"/>
      <c r="J113" s="157"/>
      <c r="K113" s="157">
        <v>0.99</v>
      </c>
      <c r="L113" s="118"/>
      <c r="M113" s="5"/>
      <c r="O113" s="5" t="s">
        <v>200</v>
      </c>
      <c r="P113" s="118">
        <v>9</v>
      </c>
      <c r="Q113" s="118">
        <v>0</v>
      </c>
      <c r="R113" s="118">
        <v>2</v>
      </c>
      <c r="S113" s="118">
        <v>4</v>
      </c>
      <c r="T113" s="118">
        <v>0</v>
      </c>
    </row>
    <row r="114" spans="2:20" x14ac:dyDescent="0.25">
      <c r="B114" s="118">
        <f t="shared" si="2"/>
        <v>20</v>
      </c>
      <c r="C114" s="118" t="s">
        <v>276</v>
      </c>
      <c r="D114" s="152" t="s">
        <v>144</v>
      </c>
      <c r="E114" s="141" t="s">
        <v>122</v>
      </c>
      <c r="F114" s="158" t="s">
        <v>94</v>
      </c>
      <c r="G114" s="158" t="s">
        <v>172</v>
      </c>
      <c r="H114" s="158" t="s">
        <v>354</v>
      </c>
      <c r="I114" s="158"/>
      <c r="J114" s="157"/>
      <c r="K114" s="157" t="s">
        <v>192</v>
      </c>
      <c r="L114" s="118"/>
      <c r="M114" s="144"/>
      <c r="O114" s="5" t="s">
        <v>201</v>
      </c>
      <c r="P114" s="118">
        <v>5</v>
      </c>
      <c r="Q114" s="118">
        <v>0</v>
      </c>
      <c r="R114" s="118">
        <v>1</v>
      </c>
      <c r="S114" s="118">
        <v>5</v>
      </c>
      <c r="T114" s="118">
        <v>0</v>
      </c>
    </row>
    <row r="115" spans="2:20" x14ac:dyDescent="0.25">
      <c r="B115" s="118">
        <f t="shared" si="2"/>
        <v>21</v>
      </c>
      <c r="C115" s="118" t="s">
        <v>270</v>
      </c>
      <c r="D115" s="131" t="s">
        <v>145</v>
      </c>
      <c r="E115" s="5" t="s">
        <v>122</v>
      </c>
      <c r="F115" s="149" t="s">
        <v>123</v>
      </c>
      <c r="G115" s="172" t="s">
        <v>123</v>
      </c>
      <c r="H115" s="155" t="s">
        <v>353</v>
      </c>
      <c r="I115" s="149"/>
      <c r="J115" s="157"/>
      <c r="K115" s="193">
        <v>0.99</v>
      </c>
      <c r="L115" s="118"/>
      <c r="M115" s="5"/>
      <c r="O115" s="5" t="s">
        <v>203</v>
      </c>
      <c r="P115" s="118">
        <v>3</v>
      </c>
      <c r="Q115" s="118">
        <v>0</v>
      </c>
      <c r="R115" s="118">
        <v>0</v>
      </c>
      <c r="S115" s="118">
        <v>2</v>
      </c>
      <c r="T115" s="118">
        <v>0</v>
      </c>
    </row>
    <row r="116" spans="2:20" x14ac:dyDescent="0.25">
      <c r="B116" s="118">
        <f t="shared" si="2"/>
        <v>22</v>
      </c>
      <c r="C116" s="118" t="s">
        <v>270</v>
      </c>
      <c r="D116" s="130" t="s">
        <v>146</v>
      </c>
      <c r="E116" s="61" t="s">
        <v>76</v>
      </c>
      <c r="F116" s="149" t="s">
        <v>123</v>
      </c>
      <c r="G116" s="157" t="s">
        <v>125</v>
      </c>
      <c r="H116" s="155" t="s">
        <v>353</v>
      </c>
      <c r="I116" s="149"/>
      <c r="J116" s="157"/>
      <c r="K116" s="157" t="s">
        <v>192</v>
      </c>
      <c r="L116" s="118"/>
      <c r="M116" s="5"/>
      <c r="O116" s="5" t="s">
        <v>202</v>
      </c>
      <c r="P116" s="118">
        <v>0</v>
      </c>
      <c r="Q116" s="118">
        <v>4</v>
      </c>
      <c r="R116" s="118">
        <v>0</v>
      </c>
      <c r="S116" s="118">
        <v>4</v>
      </c>
      <c r="T116" s="118">
        <v>0</v>
      </c>
    </row>
    <row r="117" spans="2:20" x14ac:dyDescent="0.25">
      <c r="B117" s="118">
        <f t="shared" si="2"/>
        <v>23</v>
      </c>
      <c r="C117" s="118" t="s">
        <v>272</v>
      </c>
      <c r="D117" s="131" t="s">
        <v>147</v>
      </c>
      <c r="E117" s="5" t="s">
        <v>122</v>
      </c>
      <c r="F117" s="149" t="s">
        <v>123</v>
      </c>
      <c r="G117" s="172" t="s">
        <v>123</v>
      </c>
      <c r="H117" s="155" t="s">
        <v>353</v>
      </c>
      <c r="I117" s="149"/>
      <c r="J117" s="157"/>
      <c r="K117" s="157">
        <v>0.96</v>
      </c>
      <c r="L117" s="118"/>
      <c r="M117" s="5"/>
      <c r="O117" s="61" t="s">
        <v>170</v>
      </c>
      <c r="P117" s="118">
        <f>SUBTOTAL(9,P110:P116)</f>
        <v>58</v>
      </c>
      <c r="Q117" s="118">
        <f>SUBTOTAL(9,Q110:Q116)</f>
        <v>43</v>
      </c>
      <c r="R117" s="118">
        <f>SUBTOTAL(9,R110:R116)</f>
        <v>13</v>
      </c>
      <c r="S117" s="118">
        <f>SUBTOTAL(9,S110:S116)</f>
        <v>31</v>
      </c>
      <c r="T117" s="118">
        <f>SUBTOTAL(9,T110:T116)</f>
        <v>5</v>
      </c>
    </row>
    <row r="118" spans="2:20" x14ac:dyDescent="0.25">
      <c r="B118" s="118">
        <f t="shared" si="2"/>
        <v>24</v>
      </c>
      <c r="C118" s="118" t="s">
        <v>274</v>
      </c>
      <c r="D118" s="131" t="s">
        <v>148</v>
      </c>
      <c r="E118" s="5" t="s">
        <v>122</v>
      </c>
      <c r="F118" s="149" t="s">
        <v>123</v>
      </c>
      <c r="G118" s="172" t="s">
        <v>123</v>
      </c>
      <c r="H118" s="155" t="s">
        <v>353</v>
      </c>
      <c r="I118" s="149"/>
      <c r="J118" s="157"/>
      <c r="K118" s="157">
        <v>0.98</v>
      </c>
      <c r="L118" s="118"/>
      <c r="M118" s="5"/>
    </row>
    <row r="119" spans="2:20" x14ac:dyDescent="0.25">
      <c r="B119" s="118">
        <f t="shared" si="2"/>
        <v>25</v>
      </c>
      <c r="C119" s="118" t="s">
        <v>274</v>
      </c>
      <c r="D119" s="131" t="s">
        <v>149</v>
      </c>
      <c r="E119" s="61" t="s">
        <v>76</v>
      </c>
      <c r="F119" s="149" t="s">
        <v>123</v>
      </c>
      <c r="G119" s="157" t="s">
        <v>125</v>
      </c>
      <c r="H119" s="155" t="s">
        <v>353</v>
      </c>
      <c r="I119" s="149"/>
      <c r="J119" s="157"/>
      <c r="K119" s="157" t="s">
        <v>192</v>
      </c>
      <c r="L119" s="118"/>
      <c r="M119" s="5"/>
    </row>
    <row r="120" spans="2:20" x14ac:dyDescent="0.25">
      <c r="N120" s="64"/>
      <c r="O120" s="135" t="s">
        <v>281</v>
      </c>
      <c r="P120" s="135">
        <f>P117+R103</f>
        <v>70</v>
      </c>
    </row>
    <row r="121" spans="2:20" x14ac:dyDescent="0.25">
      <c r="B121" s="167" t="s">
        <v>167</v>
      </c>
      <c r="C121" s="167"/>
      <c r="D121" s="167" t="s">
        <v>166</v>
      </c>
      <c r="E121" s="168" t="s">
        <v>165</v>
      </c>
      <c r="F121" s="169" t="s">
        <v>170</v>
      </c>
      <c r="G121" s="200"/>
      <c r="H121" s="200"/>
      <c r="I121" s="200"/>
      <c r="N121" s="64"/>
      <c r="O121" s="142"/>
      <c r="P121" s="142"/>
    </row>
    <row r="122" spans="2:20" x14ac:dyDescent="0.25">
      <c r="B122" s="163" t="s">
        <v>291</v>
      </c>
      <c r="C122" s="163"/>
      <c r="D122" s="164">
        <v>27</v>
      </c>
      <c r="E122" s="162">
        <v>9</v>
      </c>
      <c r="F122" s="164">
        <f>SUM(D122:E122)</f>
        <v>36</v>
      </c>
      <c r="G122" s="206"/>
      <c r="H122" s="206"/>
      <c r="I122" s="206"/>
      <c r="N122" s="64"/>
      <c r="O122" s="142"/>
      <c r="P122" s="142"/>
    </row>
    <row r="123" spans="2:20" x14ac:dyDescent="0.25">
      <c r="B123" s="163" t="s">
        <v>168</v>
      </c>
      <c r="C123" s="163"/>
      <c r="D123" s="164">
        <v>11</v>
      </c>
      <c r="E123" s="162">
        <f>B119-D123</f>
        <v>14</v>
      </c>
      <c r="F123" s="162">
        <f>SUM(D123:E123)</f>
        <v>25</v>
      </c>
      <c r="G123" s="201"/>
      <c r="H123" s="201"/>
      <c r="I123" s="201"/>
    </row>
    <row r="124" spans="2:20" ht="13.8" x14ac:dyDescent="0.25">
      <c r="B124" s="165" t="s">
        <v>169</v>
      </c>
      <c r="C124" s="165"/>
      <c r="D124" s="164">
        <v>37</v>
      </c>
      <c r="E124" s="164">
        <f>B85-D124</f>
        <v>44</v>
      </c>
      <c r="F124" s="162">
        <f>SUM(D124:E124)</f>
        <v>81</v>
      </c>
      <c r="G124" s="201"/>
      <c r="H124" s="201"/>
      <c r="I124" s="201"/>
      <c r="P124" s="409" t="s">
        <v>290</v>
      </c>
      <c r="Q124" s="409"/>
      <c r="R124" s="409"/>
    </row>
    <row r="125" spans="2:20" ht="14.4" x14ac:dyDescent="0.3">
      <c r="B125" s="170" t="s">
        <v>170</v>
      </c>
      <c r="C125" s="170"/>
      <c r="D125" s="158">
        <f>SUM(D122:D124)</f>
        <v>75</v>
      </c>
      <c r="E125" s="158">
        <f>SUM(E122:E124)</f>
        <v>67</v>
      </c>
      <c r="F125" s="159">
        <f>SUM(D125:E125)</f>
        <v>142</v>
      </c>
      <c r="G125" s="202"/>
      <c r="H125" s="202"/>
      <c r="I125" s="202"/>
      <c r="O125" s="205"/>
      <c r="P125" s="204" t="s">
        <v>284</v>
      </c>
      <c r="Q125" s="204" t="s">
        <v>71</v>
      </c>
      <c r="R125" s="204" t="s">
        <v>285</v>
      </c>
    </row>
    <row r="126" spans="2:20" x14ac:dyDescent="0.25">
      <c r="O126" s="64"/>
      <c r="P126" s="118" t="s">
        <v>287</v>
      </c>
      <c r="Q126" s="118">
        <v>0</v>
      </c>
      <c r="R126" s="118">
        <v>1</v>
      </c>
    </row>
    <row r="127" spans="2:20" x14ac:dyDescent="0.25">
      <c r="B127" s="410" t="s">
        <v>292</v>
      </c>
      <c r="C127" s="410"/>
      <c r="D127" s="207">
        <f>D125/F125</f>
        <v>0.528169014084507</v>
      </c>
      <c r="J127" s="166"/>
      <c r="O127" s="64"/>
      <c r="P127" s="144" t="s">
        <v>288</v>
      </c>
      <c r="Q127" s="118">
        <v>0</v>
      </c>
      <c r="R127" s="118">
        <v>1</v>
      </c>
    </row>
    <row r="128" spans="2:20" x14ac:dyDescent="0.25">
      <c r="O128" s="64"/>
      <c r="P128" s="144" t="s">
        <v>199</v>
      </c>
      <c r="Q128" s="118">
        <v>1</v>
      </c>
      <c r="R128" s="118">
        <v>0</v>
      </c>
    </row>
    <row r="129" spans="4:18" x14ac:dyDescent="0.25">
      <c r="O129" s="64"/>
      <c r="P129" s="144" t="s">
        <v>289</v>
      </c>
      <c r="Q129" s="118">
        <v>3</v>
      </c>
      <c r="R129" s="118">
        <v>2</v>
      </c>
    </row>
    <row r="130" spans="4:18" x14ac:dyDescent="0.25">
      <c r="D130" s="185" t="s">
        <v>191</v>
      </c>
      <c r="E130" s="185" t="s">
        <v>167</v>
      </c>
      <c r="O130" s="64"/>
      <c r="P130" s="144" t="s">
        <v>197</v>
      </c>
      <c r="Q130" s="118">
        <v>6</v>
      </c>
      <c r="R130" s="118">
        <v>2</v>
      </c>
    </row>
    <row r="131" spans="4:18" x14ac:dyDescent="0.25">
      <c r="D131" s="186" t="s">
        <v>193</v>
      </c>
      <c r="E131" s="118">
        <f>D125</f>
        <v>75</v>
      </c>
      <c r="O131" s="64"/>
      <c r="P131" s="144" t="s">
        <v>201</v>
      </c>
      <c r="Q131" s="118">
        <v>5</v>
      </c>
      <c r="R131" s="118">
        <v>2</v>
      </c>
    </row>
    <row r="132" spans="4:18" x14ac:dyDescent="0.25">
      <c r="D132" s="186" t="s">
        <v>194</v>
      </c>
      <c r="E132" s="118">
        <f>E125</f>
        <v>67</v>
      </c>
      <c r="O132" s="64"/>
      <c r="P132" s="144" t="s">
        <v>286</v>
      </c>
      <c r="Q132" s="118">
        <v>3</v>
      </c>
      <c r="R132" s="118">
        <v>1</v>
      </c>
    </row>
    <row r="133" spans="4:18" x14ac:dyDescent="0.25">
      <c r="D133" s="186" t="s">
        <v>170</v>
      </c>
      <c r="E133" s="118">
        <f>SUBTOTAL(9,E131:E132)</f>
        <v>142</v>
      </c>
      <c r="O133" s="64"/>
      <c r="P133" s="144" t="s">
        <v>170</v>
      </c>
      <c r="Q133" s="118">
        <f>SUBTOTAL(9,Q126:Q132)</f>
        <v>18</v>
      </c>
      <c r="R133" s="118">
        <f>SUBTOTAL(9,R126:R132)</f>
        <v>9</v>
      </c>
    </row>
    <row r="134" spans="4:18" x14ac:dyDescent="0.25">
      <c r="E134" s="187"/>
    </row>
    <row r="135" spans="4:18" x14ac:dyDescent="0.25">
      <c r="D135" s="188" t="s">
        <v>122</v>
      </c>
      <c r="E135" s="185" t="s">
        <v>167</v>
      </c>
    </row>
    <row r="136" spans="4:18" x14ac:dyDescent="0.25">
      <c r="D136" s="186" t="s">
        <v>195</v>
      </c>
      <c r="E136" s="118">
        <v>21</v>
      </c>
    </row>
    <row r="137" spans="4:18" x14ac:dyDescent="0.25">
      <c r="D137" s="186" t="s">
        <v>196</v>
      </c>
      <c r="E137" s="118">
        <v>84</v>
      </c>
    </row>
    <row r="138" spans="4:18" x14ac:dyDescent="0.25">
      <c r="D138" s="186" t="s">
        <v>170</v>
      </c>
      <c r="E138" s="118">
        <f>SUBTOTAL(9,E136:E137)</f>
        <v>105</v>
      </c>
    </row>
  </sheetData>
  <autoFilter ref="B4:O92" xr:uid="{00000000-0009-0000-0000-00001B000000}"/>
  <mergeCells count="2">
    <mergeCell ref="P124:R124"/>
    <mergeCell ref="B127:C127"/>
  </mergeCells>
  <printOptions horizontalCentered="1" verticalCentered="1"/>
  <pageMargins left="0.70866141732283472" right="0.70866141732283472" top="0.74803149606299213" bottom="0.74803149606299213" header="0.31496062992125984" footer="0.31496062992125984"/>
  <pageSetup scale="65" orientation="landscape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tabColor theme="8" tint="0.59999389629810485"/>
  </sheetPr>
  <dimension ref="F4:J29"/>
  <sheetViews>
    <sheetView workbookViewId="0">
      <selection activeCell="Q40" sqref="Q40"/>
    </sheetView>
  </sheetViews>
  <sheetFormatPr baseColWidth="10" defaultRowHeight="13.2" x14ac:dyDescent="0.25"/>
  <sheetData>
    <row r="4" spans="6:10" x14ac:dyDescent="0.25">
      <c r="F4" s="413" t="s">
        <v>417</v>
      </c>
      <c r="G4" s="413"/>
      <c r="H4" s="413"/>
      <c r="I4" s="330" t="s">
        <v>418</v>
      </c>
    </row>
    <row r="5" spans="6:10" x14ac:dyDescent="0.25">
      <c r="F5" s="5" t="s">
        <v>392</v>
      </c>
      <c r="G5" s="5" t="s">
        <v>393</v>
      </c>
      <c r="H5" s="119">
        <v>1</v>
      </c>
      <c r="I5" s="119">
        <v>1</v>
      </c>
    </row>
    <row r="6" spans="6:10" x14ac:dyDescent="0.25">
      <c r="F6" s="332" t="s">
        <v>392</v>
      </c>
      <c r="G6" s="332" t="s">
        <v>394</v>
      </c>
      <c r="H6" s="333">
        <v>0</v>
      </c>
      <c r="I6" s="333">
        <v>0</v>
      </c>
      <c r="J6" s="331"/>
    </row>
    <row r="7" spans="6:10" x14ac:dyDescent="0.25">
      <c r="F7" s="5" t="s">
        <v>392</v>
      </c>
      <c r="G7" s="5" t="s">
        <v>395</v>
      </c>
      <c r="H7" s="119">
        <v>1</v>
      </c>
      <c r="I7" s="119">
        <v>1</v>
      </c>
    </row>
    <row r="8" spans="6:10" x14ac:dyDescent="0.25">
      <c r="F8" s="5" t="s">
        <v>392</v>
      </c>
      <c r="G8" s="5" t="s">
        <v>396</v>
      </c>
      <c r="H8" s="119">
        <v>1</v>
      </c>
      <c r="I8" s="119">
        <v>1</v>
      </c>
    </row>
    <row r="9" spans="6:10" x14ac:dyDescent="0.25">
      <c r="F9" s="5" t="s">
        <v>392</v>
      </c>
      <c r="G9" s="5" t="s">
        <v>397</v>
      </c>
      <c r="H9" s="119">
        <v>1</v>
      </c>
      <c r="I9" s="119">
        <v>1</v>
      </c>
    </row>
    <row r="10" spans="6:10" x14ac:dyDescent="0.25">
      <c r="F10" s="5" t="s">
        <v>392</v>
      </c>
      <c r="G10" s="5" t="s">
        <v>398</v>
      </c>
      <c r="H10" s="119">
        <v>2</v>
      </c>
      <c r="I10" s="119">
        <v>1</v>
      </c>
    </row>
    <row r="11" spans="6:10" x14ac:dyDescent="0.25">
      <c r="F11" s="5" t="s">
        <v>392</v>
      </c>
      <c r="G11" s="5" t="s">
        <v>399</v>
      </c>
      <c r="H11" s="119">
        <v>3</v>
      </c>
      <c r="I11" s="119">
        <v>2</v>
      </c>
    </row>
    <row r="12" spans="6:10" x14ac:dyDescent="0.25">
      <c r="F12" s="332" t="s">
        <v>392</v>
      </c>
      <c r="G12" s="332" t="s">
        <v>400</v>
      </c>
      <c r="H12" s="333">
        <v>0</v>
      </c>
      <c r="I12" s="333">
        <v>0</v>
      </c>
      <c r="J12" s="331"/>
    </row>
    <row r="13" spans="6:10" x14ac:dyDescent="0.25">
      <c r="F13" s="332" t="s">
        <v>392</v>
      </c>
      <c r="G13" s="332" t="s">
        <v>401</v>
      </c>
      <c r="H13" s="333">
        <v>0</v>
      </c>
      <c r="I13" s="333">
        <v>0</v>
      </c>
      <c r="J13" s="331"/>
    </row>
    <row r="14" spans="6:10" x14ac:dyDescent="0.25">
      <c r="F14" s="5" t="s">
        <v>392</v>
      </c>
      <c r="G14" s="5" t="s">
        <v>402</v>
      </c>
      <c r="H14" s="119">
        <v>3</v>
      </c>
      <c r="I14" s="119">
        <v>2</v>
      </c>
      <c r="J14" s="18"/>
    </row>
    <row r="15" spans="6:10" x14ac:dyDescent="0.25">
      <c r="F15" s="5" t="s">
        <v>392</v>
      </c>
      <c r="G15" s="5" t="s">
        <v>403</v>
      </c>
      <c r="H15" s="119">
        <v>3</v>
      </c>
      <c r="I15" s="119">
        <v>2</v>
      </c>
      <c r="J15" s="18"/>
    </row>
    <row r="16" spans="6:10" x14ac:dyDescent="0.25">
      <c r="F16" s="332" t="s">
        <v>392</v>
      </c>
      <c r="G16" s="332" t="s">
        <v>404</v>
      </c>
      <c r="H16" s="333">
        <v>0</v>
      </c>
      <c r="I16" s="333">
        <v>0</v>
      </c>
      <c r="J16" s="331"/>
    </row>
    <row r="17" spans="6:9" x14ac:dyDescent="0.25">
      <c r="F17" s="5" t="s">
        <v>392</v>
      </c>
      <c r="G17" s="5" t="s">
        <v>405</v>
      </c>
      <c r="H17" s="119">
        <v>1</v>
      </c>
      <c r="I17" s="119">
        <v>1</v>
      </c>
    </row>
    <row r="18" spans="6:9" x14ac:dyDescent="0.25">
      <c r="F18" s="5" t="s">
        <v>392</v>
      </c>
      <c r="G18" s="5" t="s">
        <v>406</v>
      </c>
      <c r="H18" s="119">
        <v>2</v>
      </c>
      <c r="I18" s="119">
        <v>1</v>
      </c>
    </row>
    <row r="19" spans="6:9" x14ac:dyDescent="0.25">
      <c r="F19" s="5" t="s">
        <v>392</v>
      </c>
      <c r="G19" s="5" t="s">
        <v>407</v>
      </c>
      <c r="H19" s="119">
        <v>1</v>
      </c>
      <c r="I19" s="119">
        <v>1</v>
      </c>
    </row>
    <row r="20" spans="6:9" x14ac:dyDescent="0.25">
      <c r="F20" s="5" t="s">
        <v>392</v>
      </c>
      <c r="G20" s="5" t="s">
        <v>408</v>
      </c>
      <c r="H20" s="119">
        <v>2</v>
      </c>
      <c r="I20" s="119">
        <v>2</v>
      </c>
    </row>
    <row r="21" spans="6:9" x14ac:dyDescent="0.25">
      <c r="F21" s="5" t="s">
        <v>392</v>
      </c>
      <c r="G21" s="5" t="s">
        <v>409</v>
      </c>
      <c r="H21" s="119">
        <v>1</v>
      </c>
      <c r="I21" s="119">
        <v>1</v>
      </c>
    </row>
    <row r="22" spans="6:9" x14ac:dyDescent="0.25">
      <c r="F22" s="5" t="s">
        <v>392</v>
      </c>
      <c r="G22" s="5" t="s">
        <v>410</v>
      </c>
      <c r="H22" s="119">
        <v>1</v>
      </c>
      <c r="I22" s="119">
        <v>1</v>
      </c>
    </row>
    <row r="23" spans="6:9" x14ac:dyDescent="0.25">
      <c r="F23" s="5" t="s">
        <v>392</v>
      </c>
      <c r="G23" s="5" t="s">
        <v>411</v>
      </c>
      <c r="H23" s="119">
        <v>3</v>
      </c>
      <c r="I23" s="119">
        <v>3</v>
      </c>
    </row>
    <row r="24" spans="6:9" x14ac:dyDescent="0.25">
      <c r="F24" s="5" t="s">
        <v>392</v>
      </c>
      <c r="G24" s="5" t="s">
        <v>412</v>
      </c>
      <c r="H24" s="119">
        <v>2</v>
      </c>
      <c r="I24" s="119">
        <v>1</v>
      </c>
    </row>
    <row r="25" spans="6:9" x14ac:dyDescent="0.25">
      <c r="F25" s="5" t="s">
        <v>392</v>
      </c>
      <c r="G25" s="5" t="s">
        <v>413</v>
      </c>
      <c r="H25" s="119">
        <v>1</v>
      </c>
      <c r="I25" s="119">
        <v>1</v>
      </c>
    </row>
    <row r="26" spans="6:9" x14ac:dyDescent="0.25">
      <c r="F26" s="5" t="s">
        <v>392</v>
      </c>
      <c r="G26" s="5" t="s">
        <v>414</v>
      </c>
      <c r="H26" s="119">
        <v>2</v>
      </c>
      <c r="I26" s="119">
        <v>1</v>
      </c>
    </row>
    <row r="27" spans="6:9" x14ac:dyDescent="0.25">
      <c r="F27" s="5" t="s">
        <v>392</v>
      </c>
      <c r="G27" s="5" t="s">
        <v>415</v>
      </c>
      <c r="H27" s="119">
        <v>3</v>
      </c>
      <c r="I27" s="119">
        <v>2</v>
      </c>
    </row>
    <row r="28" spans="6:9" x14ac:dyDescent="0.25">
      <c r="F28" s="5" t="s">
        <v>392</v>
      </c>
      <c r="G28" s="5" t="s">
        <v>416</v>
      </c>
      <c r="H28" s="119">
        <v>1</v>
      </c>
      <c r="I28" s="119">
        <v>1</v>
      </c>
    </row>
    <row r="29" spans="6:9" x14ac:dyDescent="0.25">
      <c r="F29" s="411" t="s">
        <v>170</v>
      </c>
      <c r="G29" s="412"/>
      <c r="H29" s="119">
        <f>SUM(H5:H28)</f>
        <v>35</v>
      </c>
      <c r="I29" s="119">
        <f>SUM(I5:I28)</f>
        <v>27</v>
      </c>
    </row>
  </sheetData>
  <mergeCells count="2">
    <mergeCell ref="F29:G29"/>
    <mergeCell ref="F4:H4"/>
  </mergeCells>
  <pageMargins left="0.7" right="0.7" top="0.75" bottom="0.75" header="0.3" footer="0.3"/>
  <pageSetup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3:T47"/>
  <sheetViews>
    <sheetView topLeftCell="A10" zoomScaleNormal="100" workbookViewId="0">
      <selection activeCell="F36" sqref="F36"/>
    </sheetView>
  </sheetViews>
  <sheetFormatPr baseColWidth="10" defaultRowHeight="13.2" x14ac:dyDescent="0.25"/>
  <cols>
    <col min="1" max="1" width="20" customWidth="1"/>
    <col min="2" max="3" width="15.6640625" customWidth="1"/>
    <col min="4" max="4" width="19" bestFit="1" customWidth="1"/>
    <col min="5" max="5" width="15.6640625" customWidth="1"/>
    <col min="6" max="6" width="17.88671875" bestFit="1" customWidth="1"/>
    <col min="7" max="13" width="15.6640625" customWidth="1"/>
    <col min="14" max="14" width="21.6640625" customWidth="1"/>
    <col min="15" max="15" width="15.6640625" customWidth="1"/>
    <col min="20" max="20" width="16.109375" bestFit="1" customWidth="1"/>
  </cols>
  <sheetData>
    <row r="3" spans="1:20" x14ac:dyDescent="0.25">
      <c r="D3" s="398" t="s">
        <v>0</v>
      </c>
      <c r="E3" s="398"/>
      <c r="F3" s="398"/>
      <c r="G3" s="398"/>
      <c r="H3" s="398"/>
      <c r="I3" s="398"/>
      <c r="J3" s="398"/>
      <c r="K3" s="398"/>
      <c r="L3" s="398"/>
      <c r="N3" s="20"/>
    </row>
    <row r="4" spans="1:20" x14ac:dyDescent="0.25">
      <c r="D4" s="398" t="s">
        <v>1</v>
      </c>
      <c r="E4" s="398"/>
      <c r="F4" s="398"/>
      <c r="G4" s="398"/>
      <c r="H4" s="398"/>
      <c r="I4" s="398"/>
      <c r="J4" s="398"/>
      <c r="K4" s="398"/>
      <c r="L4" s="398"/>
      <c r="N4" s="20"/>
    </row>
    <row r="5" spans="1:20" x14ac:dyDescent="0.25">
      <c r="D5" s="398" t="s">
        <v>22</v>
      </c>
      <c r="E5" s="398"/>
      <c r="F5" s="398"/>
      <c r="G5" s="398"/>
      <c r="H5" s="398"/>
      <c r="I5" s="398"/>
      <c r="J5" s="398"/>
      <c r="K5" s="398"/>
      <c r="L5" s="398"/>
      <c r="N5" s="20"/>
    </row>
    <row r="6" spans="1:20" x14ac:dyDescent="0.25">
      <c r="D6" s="398" t="s">
        <v>48</v>
      </c>
      <c r="E6" s="398"/>
      <c r="F6" s="398"/>
      <c r="G6" s="398"/>
      <c r="H6" s="398"/>
      <c r="I6" s="398"/>
      <c r="J6" s="398"/>
      <c r="K6" s="398"/>
      <c r="L6" s="398"/>
      <c r="N6" s="20"/>
    </row>
    <row r="7" spans="1:20" x14ac:dyDescent="0.25">
      <c r="D7" s="76"/>
      <c r="N7" s="20"/>
    </row>
    <row r="8" spans="1:20" ht="13.8" thickBot="1" x14ac:dyDescent="0.3">
      <c r="A8" s="18" t="s">
        <v>15</v>
      </c>
      <c r="B8" s="18">
        <v>31</v>
      </c>
      <c r="C8" s="18">
        <v>28</v>
      </c>
      <c r="D8" s="18">
        <v>31</v>
      </c>
      <c r="E8" s="18">
        <v>30</v>
      </c>
      <c r="F8" s="18">
        <v>31</v>
      </c>
      <c r="G8" s="18">
        <v>30</v>
      </c>
      <c r="H8" s="18">
        <v>31</v>
      </c>
      <c r="I8" s="18">
        <v>31</v>
      </c>
      <c r="J8" s="18">
        <v>30</v>
      </c>
      <c r="K8" s="18">
        <v>31</v>
      </c>
      <c r="L8" s="18">
        <v>30</v>
      </c>
      <c r="M8" s="18">
        <v>31</v>
      </c>
      <c r="N8" s="18">
        <f>SUM(B8:M8)</f>
        <v>365</v>
      </c>
      <c r="O8" s="19">
        <f>+N8/12</f>
        <v>30.416666666666668</v>
      </c>
    </row>
    <row r="9" spans="1:20" s="78" customFormat="1" ht="13.8" thickTop="1" x14ac:dyDescent="0.25">
      <c r="A9" s="208"/>
      <c r="B9" s="209">
        <v>44197</v>
      </c>
      <c r="C9" s="209">
        <v>44228</v>
      </c>
      <c r="D9" s="209">
        <v>44256</v>
      </c>
      <c r="E9" s="209">
        <v>44287</v>
      </c>
      <c r="F9" s="209">
        <v>44317</v>
      </c>
      <c r="G9" s="209">
        <v>44348</v>
      </c>
      <c r="H9" s="209">
        <v>44378</v>
      </c>
      <c r="I9" s="209">
        <v>44409</v>
      </c>
      <c r="J9" s="209">
        <v>44440</v>
      </c>
      <c r="K9" s="209">
        <v>44470</v>
      </c>
      <c r="L9" s="209">
        <v>44501</v>
      </c>
      <c r="M9" s="209">
        <v>44531</v>
      </c>
      <c r="N9" s="208" t="s">
        <v>4</v>
      </c>
      <c r="O9" s="208" t="s">
        <v>5</v>
      </c>
      <c r="T9" s="208" t="s">
        <v>297</v>
      </c>
    </row>
    <row r="10" spans="1:20" x14ac:dyDescent="0.25">
      <c r="A10" s="38" t="s">
        <v>126</v>
      </c>
      <c r="B10" s="259">
        <f>'S.E SAMULA SF6'!B53</f>
        <v>0</v>
      </c>
      <c r="C10" s="259">
        <f>'S.E SAMULA SF6'!D53</f>
        <v>0</v>
      </c>
      <c r="D10" s="259">
        <f>'S.E SAMULA SF6'!E53</f>
        <v>0</v>
      </c>
      <c r="E10" s="259">
        <f>'S.E SAMULA SF6'!F53</f>
        <v>0</v>
      </c>
      <c r="F10" s="259">
        <f>'S.E SAMULA SF6'!G53</f>
        <v>18347.733398</v>
      </c>
      <c r="G10" s="259">
        <f>'S.E SAMULA SF6'!H53</f>
        <v>0</v>
      </c>
      <c r="H10" s="259">
        <f>'S.E SAMULA SF6'!I53</f>
        <v>0</v>
      </c>
      <c r="I10" s="259">
        <f>'S.E SAMULA SF6'!J53</f>
        <v>0</v>
      </c>
      <c r="J10" s="259">
        <f>'S.E SAMULA SF6'!K53</f>
        <v>0</v>
      </c>
      <c r="K10" s="259">
        <f>'S.E SAMULA SF6'!L53</f>
        <v>0</v>
      </c>
      <c r="L10" s="259">
        <f>'S.E SAMULA SF6'!M53</f>
        <v>0</v>
      </c>
      <c r="M10" s="259">
        <f>'S.E SAMULA SF6'!N53</f>
        <v>0</v>
      </c>
      <c r="N10" s="79"/>
      <c r="O10" s="43">
        <f>MAX(B10:M10)</f>
        <v>18347.733398</v>
      </c>
      <c r="S10" s="38" t="s">
        <v>132</v>
      </c>
      <c r="T10" s="43">
        <v>24515</v>
      </c>
    </row>
    <row r="11" spans="1:20" x14ac:dyDescent="0.25">
      <c r="A11" s="38" t="s">
        <v>127</v>
      </c>
      <c r="B11" s="259">
        <f>'S.E SAMULA SF6'!B105</f>
        <v>0</v>
      </c>
      <c r="C11" s="259">
        <f>'S.E SAMULA SF6'!D105</f>
        <v>0</v>
      </c>
      <c r="D11" s="259">
        <f>'S.E SAMULA SF6'!E105</f>
        <v>0</v>
      </c>
      <c r="E11" s="259">
        <f>'S.E SAMULA SF6'!F105</f>
        <v>0</v>
      </c>
      <c r="F11" s="259">
        <f>'S.E SAMULA SF6'!G105</f>
        <v>15899.8833</v>
      </c>
      <c r="G11" s="259">
        <f>'S.E SAMULA SF6'!H105</f>
        <v>0</v>
      </c>
      <c r="H11" s="259">
        <f>'S.E SAMULA SF6'!I105</f>
        <v>0</v>
      </c>
      <c r="I11" s="259">
        <f>'S.E SAMULA SF6'!J105</f>
        <v>0</v>
      </c>
      <c r="J11" s="259">
        <f>'S.E SAMULA SF6'!K105</f>
        <v>0</v>
      </c>
      <c r="K11" s="259">
        <f>'S.E SAMULA SF6'!L105</f>
        <v>0</v>
      </c>
      <c r="L11" s="259">
        <f>'S.E SAMULA SF6'!M105</f>
        <v>0</v>
      </c>
      <c r="M11" s="259">
        <f>'S.E SAMULA SF6'!N105</f>
        <v>0</v>
      </c>
      <c r="N11" s="79"/>
      <c r="O11" s="43">
        <f>MAX(B11:M11)</f>
        <v>15899.8833</v>
      </c>
      <c r="S11" s="38" t="s">
        <v>128</v>
      </c>
      <c r="T11" s="43">
        <v>21090</v>
      </c>
    </row>
    <row r="12" spans="1:20" x14ac:dyDescent="0.25">
      <c r="A12" s="38" t="s">
        <v>128</v>
      </c>
      <c r="B12" s="259">
        <f>'S.E SAMULA SF6'!B150</f>
        <v>0</v>
      </c>
      <c r="C12" s="259">
        <f>'S.E SAMULA SF6'!D150</f>
        <v>0</v>
      </c>
      <c r="D12" s="259">
        <f>'S.E SAMULA SF6'!E150</f>
        <v>0</v>
      </c>
      <c r="E12" s="259">
        <f>'S.E SAMULA SF6'!F150</f>
        <v>0</v>
      </c>
      <c r="F12" s="259">
        <f>'S.E SAMULA SF6'!G150</f>
        <v>5016.8600260000003</v>
      </c>
      <c r="G12" s="259">
        <f>'S.E SAMULA SF6'!H150</f>
        <v>0</v>
      </c>
      <c r="H12" s="259">
        <f>'S.E SAMULA SF6'!I150</f>
        <v>0</v>
      </c>
      <c r="I12" s="259">
        <f>'S.E SAMULA SF6'!J150</f>
        <v>0</v>
      </c>
      <c r="J12" s="259">
        <f>'S.E SAMULA SF6'!K150</f>
        <v>0</v>
      </c>
      <c r="K12" s="259">
        <f>'S.E SAMULA SF6'!L150</f>
        <v>0</v>
      </c>
      <c r="L12" s="259">
        <f>'S.E SAMULA SF6'!M150</f>
        <v>0</v>
      </c>
      <c r="M12" s="259">
        <f>'S.E SAMULA SF6'!N150</f>
        <v>0</v>
      </c>
      <c r="N12" s="79"/>
      <c r="O12" s="43">
        <f>MAX(B12:M12)</f>
        <v>5016.8600260000003</v>
      </c>
      <c r="S12" s="38" t="s">
        <v>129</v>
      </c>
      <c r="T12" s="43">
        <v>15880</v>
      </c>
    </row>
    <row r="13" spans="1:20" x14ac:dyDescent="0.25">
      <c r="A13" s="38" t="s">
        <v>129</v>
      </c>
      <c r="B13" s="259">
        <f>'S.E KALA'!B46</f>
        <v>0</v>
      </c>
      <c r="C13" s="259">
        <f>'S.E KALA'!D46</f>
        <v>0</v>
      </c>
      <c r="D13" s="259">
        <f>'S.E KALA'!E46</f>
        <v>0</v>
      </c>
      <c r="E13" s="259">
        <f>'S.E KALA'!F46</f>
        <v>0</v>
      </c>
      <c r="F13" s="259">
        <f>'S.E KALA'!G46</f>
        <v>17347.116860999999</v>
      </c>
      <c r="G13" s="259">
        <f>'S.E KALA'!H46</f>
        <v>0</v>
      </c>
      <c r="H13" s="259">
        <f>'S.E KALA'!I46</f>
        <v>0</v>
      </c>
      <c r="I13" s="259">
        <f>'S.E KALA'!J46</f>
        <v>0</v>
      </c>
      <c r="J13" s="259">
        <f>'S.E KALA'!K46</f>
        <v>0</v>
      </c>
      <c r="K13" s="259">
        <f>'S.E KALA'!L46</f>
        <v>0</v>
      </c>
      <c r="L13" s="259">
        <f>'S.E KALA'!M46</f>
        <v>0</v>
      </c>
      <c r="M13" s="259">
        <f>'S.E KALA'!N46</f>
        <v>0</v>
      </c>
      <c r="N13" s="79"/>
      <c r="O13" s="43">
        <f t="shared" ref="O13:O32" si="0">MAX(B13:M13)</f>
        <v>17347.116860999999</v>
      </c>
      <c r="S13" s="38" t="s">
        <v>133</v>
      </c>
      <c r="T13" s="43">
        <v>15730</v>
      </c>
    </row>
    <row r="14" spans="1:20" x14ac:dyDescent="0.25">
      <c r="A14" s="38" t="s">
        <v>130</v>
      </c>
      <c r="B14" s="259">
        <f>'S.E KALA'!B84</f>
        <v>0</v>
      </c>
      <c r="C14" s="259">
        <f>'S.E KALA'!D84</f>
        <v>0</v>
      </c>
      <c r="D14" s="259">
        <f>'S.E KALA'!E84</f>
        <v>0</v>
      </c>
      <c r="E14" s="259">
        <f>'S.E KALA'!F84</f>
        <v>0</v>
      </c>
      <c r="F14" s="259">
        <f>'S.E KALA'!G84</f>
        <v>14566.583495999999</v>
      </c>
      <c r="G14" s="259">
        <f>'S.E KALA'!H84</f>
        <v>0</v>
      </c>
      <c r="H14" s="259">
        <f>'S.E KALA'!I84</f>
        <v>0</v>
      </c>
      <c r="I14" s="259">
        <f>'S.E KALA'!J84</f>
        <v>0</v>
      </c>
      <c r="J14" s="259">
        <f>'S.E KALA'!K84</f>
        <v>0</v>
      </c>
      <c r="K14" s="259">
        <f>'S.E KALA'!L84</f>
        <v>0</v>
      </c>
      <c r="L14" s="259">
        <f>'S.E KALA'!M84</f>
        <v>0</v>
      </c>
      <c r="M14" s="259">
        <f>'S.E KALA'!N84</f>
        <v>0</v>
      </c>
      <c r="N14" s="79"/>
      <c r="O14" s="43">
        <f t="shared" si="0"/>
        <v>14566.583495999999</v>
      </c>
      <c r="S14" s="38" t="s">
        <v>127</v>
      </c>
      <c r="T14" s="43">
        <v>14800</v>
      </c>
    </row>
    <row r="15" spans="1:20" x14ac:dyDescent="0.25">
      <c r="A15" s="38" t="s">
        <v>295</v>
      </c>
      <c r="B15" s="259">
        <f>'S.E LERMA'!B25</f>
        <v>0</v>
      </c>
      <c r="C15" s="259">
        <f>'S.E LERMA'!D25</f>
        <v>0</v>
      </c>
      <c r="D15" s="259">
        <f>'S.E LERMA'!E25</f>
        <v>0</v>
      </c>
      <c r="E15" s="259">
        <f>'S.E LERMA'!F25</f>
        <v>0</v>
      </c>
      <c r="F15" s="259">
        <f>'S.E LERMA'!G25</f>
        <v>4106.7133379999996</v>
      </c>
      <c r="G15" s="259">
        <f>'S.E LERMA'!H25</f>
        <v>0</v>
      </c>
      <c r="H15" s="259">
        <f>'S.E LERMA'!I25</f>
        <v>0</v>
      </c>
      <c r="I15" s="259">
        <f>'S.E LERMA'!J25</f>
        <v>0</v>
      </c>
      <c r="J15" s="259">
        <f>'S.E LERMA'!K25</f>
        <v>0</v>
      </c>
      <c r="K15" s="259">
        <f>'S.E LERMA'!L25</f>
        <v>0</v>
      </c>
      <c r="L15" s="259">
        <f>'S.E LERMA'!M25</f>
        <v>0</v>
      </c>
      <c r="M15" s="259">
        <f>'S.E LERMA'!N25</f>
        <v>0</v>
      </c>
      <c r="N15" s="79"/>
      <c r="O15" s="43">
        <f t="shared" si="0"/>
        <v>4106.7133379999996</v>
      </c>
      <c r="S15" s="38" t="s">
        <v>137</v>
      </c>
      <c r="T15" s="43">
        <v>14560</v>
      </c>
    </row>
    <row r="16" spans="1:20" x14ac:dyDescent="0.25">
      <c r="A16" s="38" t="s">
        <v>132</v>
      </c>
      <c r="B16" s="259">
        <f>'S.E SAMULA II'!B60</f>
        <v>0</v>
      </c>
      <c r="C16" s="259">
        <f>'S.E SAMULA II'!D60</f>
        <v>0</v>
      </c>
      <c r="D16" s="259">
        <f>'S.E SAMULA II'!E60</f>
        <v>0</v>
      </c>
      <c r="E16" s="259">
        <f>'S.E SAMULA II'!F60</f>
        <v>0</v>
      </c>
      <c r="F16" s="259">
        <f>'S.E SAMULA II'!G60</f>
        <v>26103.299803999998</v>
      </c>
      <c r="G16" s="259">
        <f>'S.E SAMULA II'!H60</f>
        <v>0</v>
      </c>
      <c r="H16" s="259">
        <f>'S.E SAMULA II'!I60</f>
        <v>0</v>
      </c>
      <c r="I16" s="259">
        <f>'S.E SAMULA II'!J60</f>
        <v>0</v>
      </c>
      <c r="J16" s="259">
        <f>'S.E SAMULA II'!K60</f>
        <v>0</v>
      </c>
      <c r="K16" s="259">
        <f>'S.E SAMULA II'!L60</f>
        <v>0</v>
      </c>
      <c r="L16" s="259">
        <f>'S.E SAMULA II'!M60</f>
        <v>0</v>
      </c>
      <c r="M16" s="259">
        <f>'S.E SAMULA II'!N60</f>
        <v>0</v>
      </c>
      <c r="N16" s="79"/>
      <c r="O16" s="43">
        <f t="shared" si="0"/>
        <v>26103.299803999998</v>
      </c>
      <c r="S16" s="38" t="s">
        <v>141</v>
      </c>
      <c r="T16" s="43">
        <v>13856</v>
      </c>
    </row>
    <row r="17" spans="1:20" x14ac:dyDescent="0.25">
      <c r="A17" s="38" t="s">
        <v>133</v>
      </c>
      <c r="B17" s="259">
        <f>'SE. AHKIMPECH'!C53</f>
        <v>0</v>
      </c>
      <c r="C17" s="259">
        <f>'SE. AHKIMPECH'!D53</f>
        <v>0</v>
      </c>
      <c r="D17" s="259">
        <f>'SE. AHKIMPECH'!E53</f>
        <v>0</v>
      </c>
      <c r="E17" s="259">
        <f>'SE. AHKIMPECH'!F53</f>
        <v>0</v>
      </c>
      <c r="F17" s="259">
        <f>'SE. AHKIMPECH'!G53</f>
        <v>16357.833495999999</v>
      </c>
      <c r="G17" s="259">
        <f>'SE. AHKIMPECH'!H53</f>
        <v>0</v>
      </c>
      <c r="H17" s="259">
        <f>'SE. AHKIMPECH'!I53</f>
        <v>0</v>
      </c>
      <c r="I17" s="259">
        <f>'SE. AHKIMPECH'!J53</f>
        <v>0</v>
      </c>
      <c r="J17" s="259">
        <f>'SE. AHKIMPECH'!K53</f>
        <v>0</v>
      </c>
      <c r="K17" s="259">
        <f>'SE. AHKIMPECH'!L53</f>
        <v>0</v>
      </c>
      <c r="L17" s="259">
        <f>'SE. AHKIMPECH'!M53</f>
        <v>0</v>
      </c>
      <c r="M17" s="259">
        <f>'SE. AHKIMPECH'!N53</f>
        <v>0</v>
      </c>
      <c r="N17" s="79"/>
      <c r="O17" s="43">
        <f t="shared" si="0"/>
        <v>16357.833495999999</v>
      </c>
      <c r="S17" s="38" t="s">
        <v>130</v>
      </c>
      <c r="T17" s="43">
        <v>13395</v>
      </c>
    </row>
    <row r="18" spans="1:20" x14ac:dyDescent="0.25">
      <c r="A18" s="38" t="s">
        <v>134</v>
      </c>
      <c r="B18" s="259">
        <f>'S.E CHAMPOTON'!B39</f>
        <v>0</v>
      </c>
      <c r="C18" s="259">
        <f>'S.E CHAMPOTON'!D39</f>
        <v>0</v>
      </c>
      <c r="D18" s="259">
        <f>'S.E CHAMPOTON'!E39</f>
        <v>0</v>
      </c>
      <c r="E18" s="259">
        <f>'S.E CHAMPOTON'!F39</f>
        <v>0</v>
      </c>
      <c r="F18" s="259">
        <f>'S.E CHAMPOTON'!G39</f>
        <v>9781.9233390000009</v>
      </c>
      <c r="G18" s="259">
        <f>'S.E CHAMPOTON'!H39</f>
        <v>0</v>
      </c>
      <c r="H18" s="259">
        <f>'S.E CHAMPOTON'!I39</f>
        <v>0</v>
      </c>
      <c r="I18" s="259">
        <f>'S.E CHAMPOTON'!J39</f>
        <v>0</v>
      </c>
      <c r="J18" s="259">
        <f>'S.E CHAMPOTON'!K39</f>
        <v>0</v>
      </c>
      <c r="K18" s="259">
        <f>'S.E CHAMPOTON'!L39</f>
        <v>0</v>
      </c>
      <c r="L18" s="259">
        <f>'S.E CHAMPOTON'!M39</f>
        <v>0</v>
      </c>
      <c r="M18" s="259">
        <f>'S.E CHAMPOTON'!N39</f>
        <v>0</v>
      </c>
      <c r="N18" s="79"/>
      <c r="O18" s="43">
        <f t="shared" si="0"/>
        <v>9781.9233390000009</v>
      </c>
      <c r="S18" s="38" t="s">
        <v>139</v>
      </c>
      <c r="T18" s="43">
        <v>10650</v>
      </c>
    </row>
    <row r="19" spans="1:20" x14ac:dyDescent="0.25">
      <c r="A19" s="38" t="s">
        <v>135</v>
      </c>
      <c r="B19" s="259">
        <f>'S.E CHAMPOTON'!B76</f>
        <v>0</v>
      </c>
      <c r="C19" s="259">
        <f>'S.E CHAMPOTON'!D76</f>
        <v>0</v>
      </c>
      <c r="D19" s="259">
        <f>'S.E CHAMPOTON'!E76</f>
        <v>0</v>
      </c>
      <c r="E19" s="259">
        <f>'S.E CHAMPOTON'!F76</f>
        <v>0</v>
      </c>
      <c r="F19" s="259">
        <f>'S.E CHAMPOTON'!G76</f>
        <v>11873.933268000001</v>
      </c>
      <c r="G19" s="259">
        <f>'S.E CHAMPOTON'!H76</f>
        <v>0</v>
      </c>
      <c r="H19" s="259">
        <f>'S.E CHAMPOTON'!I76</f>
        <v>0</v>
      </c>
      <c r="I19" s="259">
        <f>'S.E CHAMPOTON'!J76</f>
        <v>0</v>
      </c>
      <c r="J19" s="259">
        <f>'S.E CHAMPOTON'!K76</f>
        <v>0</v>
      </c>
      <c r="K19" s="259">
        <f>'S.E CHAMPOTON'!L76</f>
        <v>0</v>
      </c>
      <c r="L19" s="259">
        <f>'S.E CHAMPOTON'!M76</f>
        <v>0</v>
      </c>
      <c r="M19" s="259">
        <f>'S.E CHAMPOTON'!N76</f>
        <v>0</v>
      </c>
      <c r="N19" s="79"/>
      <c r="O19" s="43">
        <f t="shared" si="0"/>
        <v>11873.933268000001</v>
      </c>
      <c r="S19" s="38" t="s">
        <v>142</v>
      </c>
      <c r="T19" s="43">
        <v>10260</v>
      </c>
    </row>
    <row r="20" spans="1:20" x14ac:dyDescent="0.25">
      <c r="A20" s="234" t="s">
        <v>294</v>
      </c>
      <c r="B20" s="259">
        <f>'SE. SIHOCHAC'!B38</f>
        <v>0</v>
      </c>
      <c r="C20" s="259">
        <f>'SE. SIHOCHAC'!D38</f>
        <v>0</v>
      </c>
      <c r="D20" s="259">
        <f>'SE. SIHOCHAC'!E38</f>
        <v>0</v>
      </c>
      <c r="E20" s="259">
        <f>'SE. SIHOCHAC'!F38</f>
        <v>0</v>
      </c>
      <c r="F20" s="259">
        <f>'SE. SIHOCHAC'!G38</f>
        <v>3064</v>
      </c>
      <c r="G20" s="259">
        <f>'SE. SIHOCHAC'!H38</f>
        <v>0</v>
      </c>
      <c r="H20" s="259">
        <f>'SE. SIHOCHAC'!I38</f>
        <v>0</v>
      </c>
      <c r="I20" s="259">
        <f>'SE. SIHOCHAC'!J38</f>
        <v>0</v>
      </c>
      <c r="J20" s="259">
        <f>'SE. SIHOCHAC'!K38</f>
        <v>0</v>
      </c>
      <c r="K20" s="259">
        <f>'SE. SIHOCHAC'!L38</f>
        <v>0</v>
      </c>
      <c r="L20" s="259">
        <f>'SE. SIHOCHAC'!M38</f>
        <v>0</v>
      </c>
      <c r="M20" s="259">
        <f>'SE. SIHOCHAC'!N38</f>
        <v>0</v>
      </c>
      <c r="N20" s="79"/>
      <c r="O20" s="43">
        <f t="shared" si="0"/>
        <v>3064</v>
      </c>
      <c r="S20" s="38" t="s">
        <v>135</v>
      </c>
      <c r="T20" s="43">
        <v>10216</v>
      </c>
    </row>
    <row r="21" spans="1:20" x14ac:dyDescent="0.25">
      <c r="A21" s="234" t="s">
        <v>145</v>
      </c>
      <c r="B21" s="257">
        <f>'S.E SEYBAPLAYA'!B33</f>
        <v>0</v>
      </c>
      <c r="C21" s="257">
        <f>'S.E SEYBAPLAYA'!D33</f>
        <v>0</v>
      </c>
      <c r="D21" s="257">
        <f>'S.E SEYBAPLAYA'!E33</f>
        <v>0</v>
      </c>
      <c r="E21" s="257">
        <f>'S.E SEYBAPLAYA'!F33</f>
        <v>0</v>
      </c>
      <c r="F21" s="257">
        <f>'S.E SEYBAPLAYA'!G33</f>
        <v>3955</v>
      </c>
      <c r="G21" s="257">
        <f>'S.E SEYBAPLAYA'!H33</f>
        <v>0</v>
      </c>
      <c r="H21" s="257">
        <f>'S.E SEYBAPLAYA'!I33</f>
        <v>0</v>
      </c>
      <c r="I21" s="257">
        <f>'S.E SEYBAPLAYA'!J33</f>
        <v>0</v>
      </c>
      <c r="J21" s="257">
        <f>'S.E SEYBAPLAYA'!K33</f>
        <v>0</v>
      </c>
      <c r="K21" s="257">
        <f>'S.E SEYBAPLAYA'!L33</f>
        <v>0</v>
      </c>
      <c r="L21" s="257">
        <f>'S.E SEYBAPLAYA'!M33</f>
        <v>0</v>
      </c>
      <c r="M21" s="257">
        <f>'S.E SEYBAPLAYA'!N33</f>
        <v>0</v>
      </c>
      <c r="N21" s="257"/>
      <c r="O21" s="257"/>
      <c r="S21" s="38" t="s">
        <v>134</v>
      </c>
      <c r="T21" s="43">
        <v>8300</v>
      </c>
    </row>
    <row r="22" spans="1:20" x14ac:dyDescent="0.25">
      <c r="A22" s="38" t="s">
        <v>141</v>
      </c>
      <c r="B22" s="259">
        <f>'S.E ESCARCEGA'!B39</f>
        <v>0</v>
      </c>
      <c r="C22" s="259">
        <f>'S.E ESCARCEGA'!D39</f>
        <v>0</v>
      </c>
      <c r="D22" s="259">
        <f>'S.E ESCARCEGA'!E39</f>
        <v>0</v>
      </c>
      <c r="E22" s="259">
        <f>'S.E ESCARCEGA'!F39</f>
        <v>0</v>
      </c>
      <c r="F22" s="259">
        <f>'S.E ESCARCEGA'!G39</f>
        <v>11283.600097</v>
      </c>
      <c r="G22" s="259">
        <f>'S.E ESCARCEGA'!H39</f>
        <v>0</v>
      </c>
      <c r="H22" s="259">
        <f>'S.E ESCARCEGA'!I39</f>
        <v>0</v>
      </c>
      <c r="I22" s="259">
        <f>'S.E ESCARCEGA'!J39</f>
        <v>0</v>
      </c>
      <c r="J22" s="259">
        <f>'S.E ESCARCEGA'!K39</f>
        <v>0</v>
      </c>
      <c r="K22" s="259">
        <f>'S.E ESCARCEGA'!L39</f>
        <v>0</v>
      </c>
      <c r="L22" s="259">
        <f>'S.E ESCARCEGA'!M39</f>
        <v>0</v>
      </c>
      <c r="M22" s="259">
        <f>'S.E ESCARCEGA'!N39</f>
        <v>0</v>
      </c>
      <c r="N22" s="79"/>
      <c r="O22" s="43">
        <f>MAX(G22:M22)</f>
        <v>0</v>
      </c>
      <c r="S22" s="38" t="s">
        <v>138</v>
      </c>
      <c r="T22" s="43">
        <v>6897</v>
      </c>
    </row>
    <row r="23" spans="1:20" x14ac:dyDescent="0.25">
      <c r="A23" s="38" t="s">
        <v>142</v>
      </c>
      <c r="B23" s="259">
        <f>'S.E ESCARCEGA'!B77</f>
        <v>0</v>
      </c>
      <c r="C23" s="259">
        <f>'S.E ESCARCEGA'!D77</f>
        <v>0</v>
      </c>
      <c r="D23" s="259">
        <f>'S.E ESCARCEGA'!E77</f>
        <v>0</v>
      </c>
      <c r="E23" s="259">
        <f>'S.E ESCARCEGA'!F77</f>
        <v>0</v>
      </c>
      <c r="F23" s="259">
        <f>'S.E ESCARCEGA'!G77</f>
        <v>12438.066731000001</v>
      </c>
      <c r="G23" s="259">
        <f>'S.E ESCARCEGA'!H77</f>
        <v>0</v>
      </c>
      <c r="H23" s="259">
        <f>'S.E ESCARCEGA'!I77</f>
        <v>0</v>
      </c>
      <c r="I23" s="259">
        <f>'S.E ESCARCEGA'!J77</f>
        <v>0</v>
      </c>
      <c r="J23" s="259">
        <f>'S.E ESCARCEGA'!K77</f>
        <v>0</v>
      </c>
      <c r="K23" s="259">
        <f>'S.E ESCARCEGA'!L77</f>
        <v>0</v>
      </c>
      <c r="L23" s="259">
        <f>'S.E ESCARCEGA'!M77</f>
        <v>0</v>
      </c>
      <c r="M23" s="259">
        <f>'S.E ESCARCEGA'!N77</f>
        <v>0</v>
      </c>
      <c r="N23" s="79"/>
      <c r="O23" s="43">
        <f t="shared" si="0"/>
        <v>12438.066731000001</v>
      </c>
      <c r="S23" s="38" t="s">
        <v>148</v>
      </c>
      <c r="T23" s="43">
        <v>6589</v>
      </c>
    </row>
    <row r="24" spans="1:20" x14ac:dyDescent="0.25">
      <c r="A24" s="38" t="s">
        <v>158</v>
      </c>
      <c r="B24" s="259">
        <f>'S.E SABANCUY'!B32</f>
        <v>0</v>
      </c>
      <c r="C24" s="259">
        <f>'S.E SABANCUY'!D32</f>
        <v>0</v>
      </c>
      <c r="D24" s="259">
        <f>'S.E SABANCUY'!E32</f>
        <v>0</v>
      </c>
      <c r="E24" s="259">
        <f>'S.E SABANCUY'!F32</f>
        <v>0</v>
      </c>
      <c r="F24" s="259">
        <f>'S.E SABANCUY'!G32</f>
        <v>3879.9216710000001</v>
      </c>
      <c r="G24" s="259">
        <f>'S.E SABANCUY'!H32</f>
        <v>0</v>
      </c>
      <c r="H24" s="259">
        <f>'S.E SABANCUY'!I32</f>
        <v>0</v>
      </c>
      <c r="I24" s="259">
        <f>'S.E SABANCUY'!J32</f>
        <v>0</v>
      </c>
      <c r="J24" s="259">
        <f>'S.E SABANCUY'!K32</f>
        <v>0</v>
      </c>
      <c r="K24" s="259">
        <f>'S.E SABANCUY'!L32</f>
        <v>0</v>
      </c>
      <c r="L24" s="259">
        <f>'S.E SABANCUY'!M32</f>
        <v>0</v>
      </c>
      <c r="M24" s="259">
        <f>'S.E SABANCUY'!N32</f>
        <v>0</v>
      </c>
      <c r="N24" s="79"/>
      <c r="O24" s="43">
        <f t="shared" si="0"/>
        <v>3879.9216710000001</v>
      </c>
      <c r="S24" s="38" t="s">
        <v>147</v>
      </c>
      <c r="T24" s="43">
        <v>6375</v>
      </c>
    </row>
    <row r="25" spans="1:20" x14ac:dyDescent="0.25">
      <c r="A25" s="38" t="s">
        <v>143</v>
      </c>
      <c r="B25" s="259">
        <f>'S.E CHICBUL'!B32</f>
        <v>0</v>
      </c>
      <c r="C25" s="259">
        <f>'S.E CHICBUL'!D32</f>
        <v>0</v>
      </c>
      <c r="D25" s="259">
        <f>'S.E CHICBUL'!E32</f>
        <v>0</v>
      </c>
      <c r="E25" s="259">
        <f>'S.E CHICBUL'!F32</f>
        <v>0</v>
      </c>
      <c r="F25" s="259">
        <f>'S.E CHICBUL'!G32</f>
        <v>4758.4574380000004</v>
      </c>
      <c r="G25" s="259">
        <f>'S.E CHICBUL'!H32</f>
        <v>0</v>
      </c>
      <c r="H25" s="259">
        <f>'S.E CHICBUL'!I32</f>
        <v>0</v>
      </c>
      <c r="I25" s="259">
        <f>'S.E CHICBUL'!J32</f>
        <v>0</v>
      </c>
      <c r="J25" s="259">
        <f>'S.E CHICBUL'!K32</f>
        <v>0</v>
      </c>
      <c r="K25" s="259">
        <f>'S.E CHICBUL'!L32</f>
        <v>0</v>
      </c>
      <c r="L25" s="259">
        <f>'S.E CHICBUL'!M32</f>
        <v>0</v>
      </c>
      <c r="M25" s="259">
        <f>'S.E CHICBUL'!N32</f>
        <v>0</v>
      </c>
      <c r="N25" s="79"/>
      <c r="O25" s="43">
        <f t="shared" si="0"/>
        <v>4758.4574380000004</v>
      </c>
      <c r="S25" s="38" t="s">
        <v>140</v>
      </c>
      <c r="T25" s="43">
        <v>5868</v>
      </c>
    </row>
    <row r="26" spans="1:20" s="24" customFormat="1" x14ac:dyDescent="0.25">
      <c r="A26" s="38" t="s">
        <v>144</v>
      </c>
      <c r="B26" s="259">
        <f>'S.E XPUJIL'!B46</f>
        <v>0</v>
      </c>
      <c r="C26" s="259">
        <f>'S.E XPUJIL'!D46</f>
        <v>0</v>
      </c>
      <c r="D26" s="259">
        <f>'S.E XPUJIL'!E46</f>
        <v>0</v>
      </c>
      <c r="E26" s="259">
        <f>'S.E XPUJIL'!F46</f>
        <v>0</v>
      </c>
      <c r="F26" s="259">
        <f>'S.E XPUJIL'!G46</f>
        <v>5483.3316240000004</v>
      </c>
      <c r="G26" s="259">
        <f>'S.E XPUJIL'!H46</f>
        <v>0</v>
      </c>
      <c r="H26" s="259">
        <f>'S.E XPUJIL'!I46</f>
        <v>0</v>
      </c>
      <c r="I26" s="259">
        <f>'S.E XPUJIL'!J46</f>
        <v>0</v>
      </c>
      <c r="J26" s="259">
        <f>'S.E XPUJIL'!K46</f>
        <v>0</v>
      </c>
      <c r="K26" s="259">
        <f>'S.E XPUJIL'!L46</f>
        <v>0</v>
      </c>
      <c r="L26" s="259">
        <f>'S.E XPUJIL'!M46</f>
        <v>0</v>
      </c>
      <c r="M26" s="259">
        <f>'S.E XPUJIL'!N46</f>
        <v>0</v>
      </c>
      <c r="N26" s="79"/>
      <c r="O26" s="43">
        <f t="shared" si="0"/>
        <v>5483.3316240000004</v>
      </c>
      <c r="S26" s="38" t="s">
        <v>145</v>
      </c>
      <c r="T26" s="43">
        <v>5480</v>
      </c>
    </row>
    <row r="27" spans="1:20" s="24" customFormat="1" x14ac:dyDescent="0.25">
      <c r="A27" s="38" t="s">
        <v>296</v>
      </c>
      <c r="B27" s="257">
        <f>'S.E SAMUEL'!B39</f>
        <v>0</v>
      </c>
      <c r="C27" s="257">
        <f>'S.E SAMUEL'!D39</f>
        <v>0</v>
      </c>
      <c r="D27" s="257">
        <f>'S.E SAMUEL'!E39</f>
        <v>0</v>
      </c>
      <c r="E27" s="257">
        <f>'S.E SAMUEL'!F39</f>
        <v>0</v>
      </c>
      <c r="F27" s="257">
        <f>'S.E SAMUEL'!G39</f>
        <v>-1</v>
      </c>
      <c r="G27" s="257">
        <f>'S.E SAMUEL'!H39</f>
        <v>0</v>
      </c>
      <c r="H27" s="257">
        <f>'S.E SAMUEL'!I39</f>
        <v>0</v>
      </c>
      <c r="I27" s="257">
        <f>'S.E SAMUEL'!J39</f>
        <v>0</v>
      </c>
      <c r="J27" s="257">
        <f>'S.E SAMUEL'!K39</f>
        <v>0</v>
      </c>
      <c r="K27" s="257">
        <f>'S.E SAMUEL'!L39</f>
        <v>0</v>
      </c>
      <c r="L27" s="257">
        <f>'S.E SAMUEL'!M39</f>
        <v>0</v>
      </c>
      <c r="M27" s="257">
        <f>'S.E SAMUEL'!N39</f>
        <v>0</v>
      </c>
      <c r="N27" s="257"/>
      <c r="O27" s="257"/>
      <c r="S27" s="38" t="s">
        <v>144</v>
      </c>
      <c r="T27" s="43">
        <v>5075</v>
      </c>
    </row>
    <row r="28" spans="1:20" s="24" customFormat="1" x14ac:dyDescent="0.25">
      <c r="A28" s="38" t="s">
        <v>148</v>
      </c>
      <c r="B28" s="257">
        <f>'S.E CANDELARIA'!B39</f>
        <v>0</v>
      </c>
      <c r="C28" s="257">
        <f>'S.E CANDELARIA'!D39</f>
        <v>0</v>
      </c>
      <c r="D28" s="257">
        <f>'S.E CANDELARIA'!E39</f>
        <v>0</v>
      </c>
      <c r="E28" s="257">
        <f>'S.E CANDELARIA'!F39</f>
        <v>0</v>
      </c>
      <c r="F28" s="257">
        <f>'S.E CANDELARIA'!G39</f>
        <v>8599</v>
      </c>
      <c r="G28" s="257">
        <f>'S.E CANDELARIA'!H39</f>
        <v>0</v>
      </c>
      <c r="H28" s="257">
        <f>'S.E CANDELARIA'!I39</f>
        <v>0</v>
      </c>
      <c r="I28" s="257">
        <f>'S.E CANDELARIA'!J39</f>
        <v>0</v>
      </c>
      <c r="J28" s="257">
        <f>'S.E CANDELARIA'!K39</f>
        <v>0</v>
      </c>
      <c r="K28" s="257">
        <f>'S.E CANDELARIA'!L39</f>
        <v>0</v>
      </c>
      <c r="L28" s="257">
        <f>'S.E CANDELARIA'!M39</f>
        <v>0</v>
      </c>
      <c r="M28" s="257">
        <f>'S.E CANDELARIA'!N39</f>
        <v>0</v>
      </c>
      <c r="N28" s="257"/>
      <c r="O28" s="257"/>
      <c r="S28" s="38" t="s">
        <v>143</v>
      </c>
      <c r="T28" s="43">
        <v>4985</v>
      </c>
    </row>
    <row r="29" spans="1:20" x14ac:dyDescent="0.25">
      <c r="A29" s="38" t="s">
        <v>139</v>
      </c>
      <c r="B29" s="259">
        <f>'S.E CALKINI'!B46</f>
        <v>0</v>
      </c>
      <c r="C29" s="259">
        <f>'S.E CALKINI'!D46</f>
        <v>0</v>
      </c>
      <c r="D29" s="259">
        <f>'S.E CALKINI'!E46</f>
        <v>0</v>
      </c>
      <c r="E29" s="259">
        <f>'S.E CALKINI'!F46</f>
        <v>0</v>
      </c>
      <c r="F29" s="259">
        <f>'S.E CALKINI'!G46</f>
        <v>12387.799967000001</v>
      </c>
      <c r="G29" s="259">
        <f>'S.E CALKINI'!H46</f>
        <v>0</v>
      </c>
      <c r="H29" s="259">
        <f>'S.E CALKINI'!I46</f>
        <v>0</v>
      </c>
      <c r="I29" s="259">
        <f>'S.E CALKINI'!J46</f>
        <v>0</v>
      </c>
      <c r="J29" s="259">
        <f>'S.E CALKINI'!K46</f>
        <v>0</v>
      </c>
      <c r="K29" s="259">
        <f>'S.E CALKINI'!L46</f>
        <v>0</v>
      </c>
      <c r="L29" s="259">
        <f>'S.E CALKINI'!M46</f>
        <v>0</v>
      </c>
      <c r="M29" s="259">
        <f>'S.E CALKINI'!N46</f>
        <v>0</v>
      </c>
      <c r="N29" s="211"/>
      <c r="O29" s="43">
        <f t="shared" si="0"/>
        <v>12387.799967000001</v>
      </c>
      <c r="S29" s="38" t="s">
        <v>294</v>
      </c>
      <c r="T29" s="43">
        <v>3982</v>
      </c>
    </row>
    <row r="30" spans="1:20" x14ac:dyDescent="0.25">
      <c r="A30" s="38" t="s">
        <v>137</v>
      </c>
      <c r="B30" s="213">
        <f>'S.E CAYAL'!B39</f>
        <v>0</v>
      </c>
      <c r="C30" s="213">
        <f>'S.E CAYAL'!D39</f>
        <v>0</v>
      </c>
      <c r="D30" s="213">
        <f>'S.E CAYAL'!E39</f>
        <v>0</v>
      </c>
      <c r="E30" s="213">
        <f>'S.E CAYAL'!F39</f>
        <v>0</v>
      </c>
      <c r="F30" s="213">
        <f>'S.E CAYAL'!G39</f>
        <v>7920.9982909999999</v>
      </c>
      <c r="G30" s="213">
        <f>'S.E CAYAL'!H39</f>
        <v>0</v>
      </c>
      <c r="H30" s="213">
        <f>'S.E CAYAL'!I39</f>
        <v>0</v>
      </c>
      <c r="I30" s="213">
        <f>'S.E CAYAL'!J39</f>
        <v>0</v>
      </c>
      <c r="J30" s="213">
        <f>'S.E CAYAL'!K39</f>
        <v>0</v>
      </c>
      <c r="K30" s="213">
        <f>'S.E CAYAL'!L39</f>
        <v>0</v>
      </c>
      <c r="L30" s="213">
        <f>'S.E CAYAL'!M39</f>
        <v>0</v>
      </c>
      <c r="M30" s="213">
        <f>'S.E CAYAL'!N39</f>
        <v>0</v>
      </c>
      <c r="N30" s="212"/>
      <c r="O30" s="43">
        <f t="shared" si="0"/>
        <v>7920.9982909999999</v>
      </c>
      <c r="S30" s="38" t="s">
        <v>295</v>
      </c>
      <c r="T30" s="43">
        <v>3680</v>
      </c>
    </row>
    <row r="31" spans="1:20" x14ac:dyDescent="0.25">
      <c r="A31" s="38" t="s">
        <v>138</v>
      </c>
      <c r="B31" s="213">
        <f>'S.E CAYAL'!B70</f>
        <v>0</v>
      </c>
      <c r="C31" s="213">
        <f>'S.E CAYAL'!D70</f>
        <v>5279.3899730000003</v>
      </c>
      <c r="D31" s="213">
        <f>'S.E CAYAL'!E70</f>
        <v>6120.6017250000004</v>
      </c>
      <c r="E31" s="213">
        <f>'S.E CAYAL'!F70</f>
        <v>5732</v>
      </c>
      <c r="F31" s="213">
        <f>'S.E CAYAL'!G70</f>
        <v>7052.2592619999996</v>
      </c>
      <c r="G31" s="213">
        <f>'S.E CAYAL'!H70</f>
        <v>0</v>
      </c>
      <c r="H31" s="213">
        <f>'S.E CAYAL'!I70</f>
        <v>0</v>
      </c>
      <c r="I31" s="213">
        <f>'S.E CAYAL'!J70</f>
        <v>0</v>
      </c>
      <c r="J31" s="213">
        <f>'S.E CAYAL'!K70</f>
        <v>0</v>
      </c>
      <c r="K31" s="213">
        <f>'S.E CAYAL'!L70</f>
        <v>0</v>
      </c>
      <c r="L31" s="213">
        <f>'S.E CAYAL'!M70</f>
        <v>0</v>
      </c>
      <c r="M31" s="213">
        <f>'S.E CAYAL'!N70</f>
        <v>0</v>
      </c>
      <c r="N31" s="212"/>
      <c r="O31" s="43">
        <f t="shared" si="0"/>
        <v>7052.2592619999996</v>
      </c>
      <c r="S31" s="38" t="s">
        <v>126</v>
      </c>
      <c r="T31" s="43">
        <v>3570</v>
      </c>
    </row>
    <row r="32" spans="1:20" x14ac:dyDescent="0.25">
      <c r="A32" s="38" t="s">
        <v>140</v>
      </c>
      <c r="B32" s="213">
        <f>'S.E HECELCHAKAN'!B46</f>
        <v>0</v>
      </c>
      <c r="C32" s="213">
        <f>'S.E HECELCHAKAN'!D46</f>
        <v>0</v>
      </c>
      <c r="D32" s="213">
        <f>'S.E HECELCHAKAN'!E46</f>
        <v>0</v>
      </c>
      <c r="E32" s="213">
        <f>'S.E HECELCHAKAN'!F46</f>
        <v>0</v>
      </c>
      <c r="F32" s="213">
        <f>'S.E HECELCHAKAN'!G46</f>
        <v>7797.5383300000003</v>
      </c>
      <c r="G32" s="213">
        <f>'S.E HECELCHAKAN'!H46</f>
        <v>0</v>
      </c>
      <c r="H32" s="213">
        <f>'S.E HECELCHAKAN'!I46</f>
        <v>0</v>
      </c>
      <c r="I32" s="213">
        <f>'S.E HECELCHAKAN'!J46</f>
        <v>0</v>
      </c>
      <c r="J32" s="213">
        <f>'S.E HECELCHAKAN'!K46</f>
        <v>0</v>
      </c>
      <c r="K32" s="213">
        <f>'S.E HECELCHAKAN'!L46</f>
        <v>0</v>
      </c>
      <c r="L32" s="213">
        <f>'S.E HECELCHAKAN'!M46</f>
        <v>0</v>
      </c>
      <c r="M32" s="213">
        <f>'S.E HECELCHAKAN'!N46</f>
        <v>0</v>
      </c>
      <c r="N32" s="212"/>
      <c r="O32" s="43">
        <f t="shared" si="0"/>
        <v>7797.5383300000003</v>
      </c>
      <c r="S32" s="38" t="s">
        <v>158</v>
      </c>
      <c r="T32" s="43">
        <v>3555</v>
      </c>
    </row>
    <row r="33" spans="1:20" x14ac:dyDescent="0.25">
      <c r="A33" s="38" t="s">
        <v>147</v>
      </c>
      <c r="B33" s="258">
        <f>'S.E HOPELCHEN'!B47</f>
        <v>0</v>
      </c>
      <c r="C33" s="258">
        <f>'S.E HOPELCHEN'!D47</f>
        <v>0</v>
      </c>
      <c r="D33" s="258">
        <f>'S.E HOPELCHEN'!E47</f>
        <v>0</v>
      </c>
      <c r="E33" s="258">
        <f>'S.E HOPELCHEN'!F47</f>
        <v>0</v>
      </c>
      <c r="F33" s="258">
        <f>'S.E HOPELCHEN'!G47</f>
        <v>7626</v>
      </c>
      <c r="G33" s="258">
        <f>'S.E HOPELCHEN'!H47</f>
        <v>0</v>
      </c>
      <c r="H33" s="258">
        <f>'S.E HOPELCHEN'!I47</f>
        <v>0</v>
      </c>
      <c r="I33" s="258">
        <f>'S.E HOPELCHEN'!J47</f>
        <v>0</v>
      </c>
      <c r="J33" s="258">
        <f>'S.E HOPELCHEN'!K47</f>
        <v>0</v>
      </c>
      <c r="K33" s="258">
        <f>'S.E HOPELCHEN'!L47</f>
        <v>0</v>
      </c>
      <c r="L33" s="258">
        <f>'S.E HOPELCHEN'!M47</f>
        <v>0</v>
      </c>
      <c r="M33" s="258">
        <f>'S.E HOPELCHEN'!N47</f>
        <v>0</v>
      </c>
      <c r="N33" s="243"/>
      <c r="O33" s="257"/>
      <c r="S33" s="38" t="s">
        <v>296</v>
      </c>
      <c r="T33" s="43">
        <v>1872</v>
      </c>
    </row>
    <row r="34" spans="1:20" x14ac:dyDescent="0.25">
      <c r="A34" s="38" t="s">
        <v>334</v>
      </c>
      <c r="B34" s="213">
        <f>'S.E HOPELCHEN DOS'!B32</f>
        <v>0</v>
      </c>
      <c r="C34" s="213">
        <f>'S.E HOPELCHEN DOS'!D32</f>
        <v>0</v>
      </c>
      <c r="D34" s="213">
        <f>'S.E HOPELCHEN DOS'!E32</f>
        <v>0</v>
      </c>
      <c r="E34" s="213">
        <f>'S.E HOPELCHEN DOS'!F32</f>
        <v>0</v>
      </c>
      <c r="F34" s="213">
        <f>'S.E HOPELCHEN DOS'!G32</f>
        <v>8567.9300129999992</v>
      </c>
      <c r="G34" s="213">
        <f>'S.E HOPELCHEN DOS'!H32</f>
        <v>0</v>
      </c>
      <c r="H34" s="213">
        <f>'S.E HOPELCHEN DOS'!I32</f>
        <v>0</v>
      </c>
      <c r="I34" s="213">
        <f>'S.E HOPELCHEN DOS'!J32</f>
        <v>0</v>
      </c>
      <c r="J34" s="213">
        <f>'S.E HOPELCHEN DOS'!K32</f>
        <v>0</v>
      </c>
      <c r="K34" s="213">
        <f>'S.E HOPELCHEN DOS'!L32</f>
        <v>0</v>
      </c>
      <c r="L34" s="213">
        <f>'S.E HOPELCHEN DOS'!M32</f>
        <v>0</v>
      </c>
      <c r="M34" s="213">
        <f>'S.E HOPELCHEN DOS'!N32</f>
        <v>0</v>
      </c>
      <c r="N34" s="212"/>
      <c r="O34" s="43">
        <f>MAX(B34:M34)</f>
        <v>8567.9300129999992</v>
      </c>
      <c r="S34" s="239"/>
      <c r="T34" s="240"/>
    </row>
    <row r="35" spans="1:20" x14ac:dyDescent="0.25">
      <c r="A35" s="38" t="s">
        <v>362</v>
      </c>
      <c r="B35" s="213">
        <f>'S.E CANDELARIA DOS'!B48</f>
        <v>0</v>
      </c>
      <c r="C35" s="213">
        <f>'S.E CANDELARIA DOS'!D48</f>
        <v>0</v>
      </c>
      <c r="D35" s="213">
        <f>'S.E CANDELARIA DOS'!E48</f>
        <v>0</v>
      </c>
      <c r="E35" s="213">
        <f>'S.E CANDELARIA DOS'!F48</f>
        <v>0</v>
      </c>
      <c r="F35" s="213">
        <f>'S.E CANDELARIA DOS'!G48</f>
        <v>10523.166503</v>
      </c>
      <c r="G35" s="213">
        <f>'S.E CANDELARIA DOS'!H48</f>
        <v>0</v>
      </c>
      <c r="H35" s="213">
        <f>'S.E CANDELARIA DOS'!I48</f>
        <v>0</v>
      </c>
      <c r="I35" s="213">
        <f>'S.E CANDELARIA DOS'!J48</f>
        <v>0</v>
      </c>
      <c r="J35" s="213">
        <f>'S.E CANDELARIA DOS'!K48</f>
        <v>0</v>
      </c>
      <c r="K35" s="213">
        <f>'S.E CANDELARIA DOS'!L48</f>
        <v>0</v>
      </c>
      <c r="L35" s="213">
        <f>'S.E CANDELARIA DOS'!M48</f>
        <v>0</v>
      </c>
      <c r="M35" s="213">
        <f>'S.E CANDELARIA DOS'!N48</f>
        <v>0</v>
      </c>
      <c r="N35" s="212"/>
      <c r="O35" s="43">
        <f>MAX(B35:M35)</f>
        <v>10523.166503</v>
      </c>
      <c r="S35" s="239"/>
      <c r="T35" s="240"/>
    </row>
    <row r="36" spans="1:20" x14ac:dyDescent="0.25">
      <c r="A36" s="234" t="s">
        <v>330</v>
      </c>
      <c r="B36" s="235">
        <f>SUM(B10:B35)</f>
        <v>0</v>
      </c>
      <c r="C36" s="235">
        <f t="shared" ref="C36:M36" si="1">SUM(C10:C35)</f>
        <v>5279.3899730000003</v>
      </c>
      <c r="D36" s="235">
        <f t="shared" si="1"/>
        <v>6120.6017250000004</v>
      </c>
      <c r="E36" s="235">
        <f t="shared" si="1"/>
        <v>5732</v>
      </c>
      <c r="F36" s="235">
        <f t="shared" si="1"/>
        <v>254737.95025300002</v>
      </c>
      <c r="G36" s="235">
        <f t="shared" si="1"/>
        <v>0</v>
      </c>
      <c r="H36" s="235">
        <f t="shared" si="1"/>
        <v>0</v>
      </c>
      <c r="I36" s="235">
        <f t="shared" si="1"/>
        <v>0</v>
      </c>
      <c r="J36" s="235">
        <f t="shared" si="1"/>
        <v>0</v>
      </c>
      <c r="K36" s="235">
        <f t="shared" si="1"/>
        <v>0</v>
      </c>
      <c r="L36" s="235">
        <f t="shared" si="1"/>
        <v>0</v>
      </c>
      <c r="M36" s="235">
        <f t="shared" si="1"/>
        <v>0</v>
      </c>
      <c r="N36" s="157" t="s">
        <v>352</v>
      </c>
      <c r="O36" s="254">
        <f>SUM(O10:O35)</f>
        <v>223275.350156</v>
      </c>
    </row>
    <row r="37" spans="1:20" x14ac:dyDescent="0.25">
      <c r="N37" s="310"/>
      <c r="O37" s="341"/>
    </row>
    <row r="38" spans="1:20" x14ac:dyDescent="0.25">
      <c r="N38" s="310"/>
      <c r="O38" s="342"/>
      <c r="Q38" s="39">
        <f>O41+O37</f>
        <v>0</v>
      </c>
    </row>
    <row r="39" spans="1:20" x14ac:dyDescent="0.25">
      <c r="N39" s="310"/>
      <c r="O39" s="341"/>
    </row>
    <row r="40" spans="1:20" x14ac:dyDescent="0.25">
      <c r="N40" s="310"/>
      <c r="O40" s="342"/>
    </row>
    <row r="41" spans="1:20" x14ac:dyDescent="0.25">
      <c r="N41" s="310"/>
      <c r="O41" s="341"/>
    </row>
    <row r="42" spans="1:20" x14ac:dyDescent="0.25">
      <c r="O42" s="242"/>
    </row>
    <row r="44" spans="1:20" x14ac:dyDescent="0.25">
      <c r="M44" s="300"/>
      <c r="N44" s="64"/>
      <c r="O44" s="253"/>
    </row>
    <row r="47" spans="1:20" x14ac:dyDescent="0.25">
      <c r="P47" s="26"/>
    </row>
  </sheetData>
  <mergeCells count="4">
    <mergeCell ref="D3:L3"/>
    <mergeCell ref="D4:L4"/>
    <mergeCell ref="D5:L5"/>
    <mergeCell ref="D6:L6"/>
  </mergeCells>
  <pageMargins left="0.7" right="0.7" top="0.75" bottom="0.75" header="0.3" footer="0.3"/>
  <pageSetup orientation="portrait" verticalDpi="1200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E3:F58"/>
  <sheetViews>
    <sheetView topLeftCell="C1" workbookViewId="0">
      <selection activeCell="G17" sqref="G17"/>
    </sheetView>
  </sheetViews>
  <sheetFormatPr baseColWidth="10" defaultRowHeight="13.2" x14ac:dyDescent="0.25"/>
  <sheetData>
    <row r="3" spans="5:6" x14ac:dyDescent="0.25">
      <c r="E3" s="233" t="s">
        <v>71</v>
      </c>
      <c r="F3" s="336" t="s">
        <v>420</v>
      </c>
    </row>
    <row r="4" spans="5:6" x14ac:dyDescent="0.25">
      <c r="E4" s="127" t="s">
        <v>382</v>
      </c>
      <c r="F4" s="251">
        <v>8360</v>
      </c>
    </row>
    <row r="5" spans="5:6" x14ac:dyDescent="0.25">
      <c r="E5" s="127" t="s">
        <v>383</v>
      </c>
      <c r="F5" s="251">
        <v>8029.8699539999998</v>
      </c>
    </row>
    <row r="6" spans="5:6" x14ac:dyDescent="0.25">
      <c r="E6" s="127" t="s">
        <v>79</v>
      </c>
      <c r="F6" s="251">
        <v>6837.9</v>
      </c>
    </row>
    <row r="7" spans="5:6" x14ac:dyDescent="0.25">
      <c r="E7" s="127" t="s">
        <v>114</v>
      </c>
      <c r="F7" s="251">
        <v>4457</v>
      </c>
    </row>
    <row r="8" spans="5:6" x14ac:dyDescent="0.25">
      <c r="E8" s="128" t="s">
        <v>88</v>
      </c>
      <c r="F8" s="251">
        <v>4360.3999999999996</v>
      </c>
    </row>
    <row r="9" spans="5:6" x14ac:dyDescent="0.25">
      <c r="E9" s="127" t="s">
        <v>117</v>
      </c>
      <c r="F9" s="251">
        <v>3389</v>
      </c>
    </row>
    <row r="10" spans="5:6" x14ac:dyDescent="0.25">
      <c r="E10" s="127" t="s">
        <v>116</v>
      </c>
      <c r="F10" s="251">
        <v>3347</v>
      </c>
    </row>
    <row r="11" spans="5:6" x14ac:dyDescent="0.25">
      <c r="E11" s="127" t="s">
        <v>90</v>
      </c>
      <c r="F11" s="251">
        <v>2898</v>
      </c>
    </row>
    <row r="12" spans="5:6" x14ac:dyDescent="0.25">
      <c r="E12" s="128" t="s">
        <v>120</v>
      </c>
      <c r="F12" s="251">
        <v>2655</v>
      </c>
    </row>
    <row r="13" spans="5:6" x14ac:dyDescent="0.25">
      <c r="E13" s="127" t="s">
        <v>113</v>
      </c>
      <c r="F13" s="251">
        <v>2641</v>
      </c>
    </row>
    <row r="14" spans="5:6" x14ac:dyDescent="0.25">
      <c r="E14" s="127" t="s">
        <v>81</v>
      </c>
      <c r="F14" s="251">
        <v>2591.7149650000001</v>
      </c>
    </row>
    <row r="15" spans="5:6" x14ac:dyDescent="0.25">
      <c r="E15" s="127" t="s">
        <v>308</v>
      </c>
      <c r="F15" s="251">
        <v>2455.4849850000001</v>
      </c>
    </row>
    <row r="16" spans="5:6" x14ac:dyDescent="0.25">
      <c r="E16" s="127" t="s">
        <v>74</v>
      </c>
      <c r="F16" s="251">
        <v>2448</v>
      </c>
    </row>
    <row r="17" spans="5:6" x14ac:dyDescent="0.25">
      <c r="E17" s="127" t="s">
        <v>156</v>
      </c>
      <c r="F17" s="251">
        <v>2425</v>
      </c>
    </row>
    <row r="18" spans="5:6" x14ac:dyDescent="0.25">
      <c r="E18" s="128"/>
      <c r="F18" s="251"/>
    </row>
    <row r="19" spans="5:6" x14ac:dyDescent="0.25">
      <c r="E19" s="128"/>
      <c r="F19" s="251"/>
    </row>
    <row r="20" spans="5:6" x14ac:dyDescent="0.25">
      <c r="E20" s="127"/>
      <c r="F20" s="251"/>
    </row>
    <row r="21" spans="5:6" x14ac:dyDescent="0.25">
      <c r="E21" s="128"/>
      <c r="F21" s="251"/>
    </row>
    <row r="22" spans="5:6" x14ac:dyDescent="0.25">
      <c r="E22" s="128"/>
      <c r="F22" s="251"/>
    </row>
    <row r="23" spans="5:6" x14ac:dyDescent="0.25">
      <c r="E23" s="127"/>
      <c r="F23" s="251"/>
    </row>
    <row r="24" spans="5:6" x14ac:dyDescent="0.25">
      <c r="E24" s="127"/>
      <c r="F24" s="251"/>
    </row>
    <row r="25" spans="5:6" x14ac:dyDescent="0.25">
      <c r="E25" s="128"/>
      <c r="F25" s="251"/>
    </row>
    <row r="26" spans="5:6" x14ac:dyDescent="0.25">
      <c r="E26" s="128"/>
      <c r="F26" s="251"/>
    </row>
    <row r="27" spans="5:6" x14ac:dyDescent="0.25">
      <c r="E27" s="127"/>
      <c r="F27" s="251"/>
    </row>
    <row r="28" spans="5:6" x14ac:dyDescent="0.25">
      <c r="E28" s="127"/>
      <c r="F28" s="251"/>
    </row>
    <row r="29" spans="5:6" x14ac:dyDescent="0.25">
      <c r="E29" s="128"/>
      <c r="F29" s="251"/>
    </row>
    <row r="30" spans="5:6" x14ac:dyDescent="0.25">
      <c r="E30" s="128"/>
      <c r="F30" s="251"/>
    </row>
    <row r="31" spans="5:6" x14ac:dyDescent="0.25">
      <c r="E31" s="127"/>
      <c r="F31" s="251"/>
    </row>
    <row r="32" spans="5:6" x14ac:dyDescent="0.25">
      <c r="E32" s="128"/>
      <c r="F32" s="251"/>
    </row>
    <row r="33" spans="5:6" x14ac:dyDescent="0.25">
      <c r="E33" s="128"/>
      <c r="F33" s="251"/>
    </row>
    <row r="34" spans="5:6" x14ac:dyDescent="0.25">
      <c r="E34" s="127"/>
      <c r="F34" s="251"/>
    </row>
    <row r="35" spans="5:6" x14ac:dyDescent="0.25">
      <c r="E35" s="128"/>
      <c r="F35" s="251"/>
    </row>
    <row r="36" spans="5:6" x14ac:dyDescent="0.25">
      <c r="E36" s="127"/>
      <c r="F36" s="251"/>
    </row>
    <row r="37" spans="5:6" x14ac:dyDescent="0.25">
      <c r="E37" s="128"/>
      <c r="F37" s="251"/>
    </row>
    <row r="38" spans="5:6" x14ac:dyDescent="0.25">
      <c r="E38" s="127"/>
      <c r="F38" s="251"/>
    </row>
    <row r="39" spans="5:6" x14ac:dyDescent="0.25">
      <c r="E39" s="128"/>
      <c r="F39" s="251"/>
    </row>
    <row r="40" spans="5:6" x14ac:dyDescent="0.25">
      <c r="E40" s="127"/>
      <c r="F40" s="251"/>
    </row>
    <row r="41" spans="5:6" x14ac:dyDescent="0.25">
      <c r="E41" s="127"/>
      <c r="F41" s="251"/>
    </row>
    <row r="42" spans="5:6" x14ac:dyDescent="0.25">
      <c r="E42" s="128"/>
      <c r="F42" s="251"/>
    </row>
    <row r="43" spans="5:6" x14ac:dyDescent="0.25">
      <c r="E43" s="128"/>
      <c r="F43" s="251"/>
    </row>
    <row r="44" spans="5:6" x14ac:dyDescent="0.25">
      <c r="E44" s="127"/>
      <c r="F44" s="251"/>
    </row>
    <row r="45" spans="5:6" x14ac:dyDescent="0.25">
      <c r="E45" s="127"/>
      <c r="F45" s="251"/>
    </row>
    <row r="46" spans="5:6" x14ac:dyDescent="0.25">
      <c r="E46" s="128"/>
      <c r="F46" s="251"/>
    </row>
    <row r="47" spans="5:6" x14ac:dyDescent="0.25">
      <c r="E47" s="128"/>
      <c r="F47" s="251"/>
    </row>
    <row r="48" spans="5:6" x14ac:dyDescent="0.25">
      <c r="E48" s="128"/>
      <c r="F48" s="251"/>
    </row>
    <row r="49" spans="5:6" x14ac:dyDescent="0.25">
      <c r="E49" s="128"/>
      <c r="F49" s="251"/>
    </row>
    <row r="50" spans="5:6" x14ac:dyDescent="0.25">
      <c r="E50" s="128"/>
      <c r="F50" s="251"/>
    </row>
    <row r="51" spans="5:6" x14ac:dyDescent="0.25">
      <c r="E51" s="127"/>
      <c r="F51" s="251"/>
    </row>
    <row r="52" spans="5:6" x14ac:dyDescent="0.25">
      <c r="E52" s="127"/>
      <c r="F52" s="251"/>
    </row>
    <row r="53" spans="5:6" x14ac:dyDescent="0.25">
      <c r="E53" s="128"/>
      <c r="F53" s="251"/>
    </row>
    <row r="54" spans="5:6" x14ac:dyDescent="0.25">
      <c r="E54" s="128"/>
      <c r="F54" s="251"/>
    </row>
    <row r="55" spans="5:6" x14ac:dyDescent="0.25">
      <c r="E55" s="127"/>
      <c r="F55" s="251"/>
    </row>
    <row r="56" spans="5:6" x14ac:dyDescent="0.25">
      <c r="E56" s="127"/>
      <c r="F56" s="251"/>
    </row>
    <row r="57" spans="5:6" x14ac:dyDescent="0.25">
      <c r="E57" s="127"/>
      <c r="F57" s="251"/>
    </row>
    <row r="58" spans="5:6" x14ac:dyDescent="0.25">
      <c r="E58" s="127"/>
      <c r="F58" s="251"/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F5:M43"/>
  <sheetViews>
    <sheetView zoomScale="115" zoomScaleNormal="115" workbookViewId="0">
      <selection activeCell="L54" sqref="L54"/>
    </sheetView>
  </sheetViews>
  <sheetFormatPr baseColWidth="10" defaultRowHeight="13.2" x14ac:dyDescent="0.25"/>
  <cols>
    <col min="8" max="8" width="13.88671875" customWidth="1"/>
  </cols>
  <sheetData>
    <row r="5" spans="6:13" x14ac:dyDescent="0.25">
      <c r="F5" s="394" t="s">
        <v>21</v>
      </c>
      <c r="G5" s="394" t="s">
        <v>365</v>
      </c>
      <c r="H5" s="394" t="s">
        <v>424</v>
      </c>
      <c r="I5" s="394" t="s">
        <v>425</v>
      </c>
      <c r="J5" s="394" t="s">
        <v>423</v>
      </c>
      <c r="K5" s="394" t="s">
        <v>426</v>
      </c>
      <c r="L5" s="394" t="s">
        <v>430</v>
      </c>
    </row>
    <row r="6" spans="6:13" ht="12.75" customHeight="1" x14ac:dyDescent="0.25">
      <c r="F6" s="394"/>
      <c r="G6" s="394"/>
      <c r="H6" s="394"/>
      <c r="I6" s="394"/>
      <c r="J6" s="394"/>
      <c r="K6" s="394"/>
      <c r="L6" s="394"/>
    </row>
    <row r="7" spans="6:13" x14ac:dyDescent="0.25">
      <c r="F7" s="394"/>
      <c r="G7" s="394"/>
      <c r="H7" s="394"/>
      <c r="I7" s="394"/>
      <c r="J7" s="394"/>
      <c r="K7" s="394"/>
      <c r="L7" s="394"/>
    </row>
    <row r="8" spans="6:13" x14ac:dyDescent="0.25">
      <c r="F8" s="359" t="s">
        <v>334</v>
      </c>
      <c r="G8" s="358" t="s">
        <v>368</v>
      </c>
      <c r="H8" s="353">
        <v>19</v>
      </c>
      <c r="I8" s="353">
        <v>10.130000000000001</v>
      </c>
      <c r="J8" s="346">
        <f t="shared" ref="J8:J13" si="0">I8/H8</f>
        <v>0.53315789473684216</v>
      </c>
      <c r="K8" s="346">
        <f t="shared" ref="K8:K15" si="1">M8-J8</f>
        <v>0.46684210526315784</v>
      </c>
      <c r="L8" s="346"/>
      <c r="M8" s="357">
        <f>10000%/100</f>
        <v>1</v>
      </c>
    </row>
    <row r="9" spans="6:13" hidden="1" x14ac:dyDescent="0.25">
      <c r="F9" s="359" t="s">
        <v>139</v>
      </c>
      <c r="G9" s="358" t="s">
        <v>367</v>
      </c>
      <c r="H9" s="353">
        <v>19</v>
      </c>
      <c r="I9" s="353">
        <v>8.7579999999999991</v>
      </c>
      <c r="J9" s="346">
        <f t="shared" si="0"/>
        <v>0.46094736842105261</v>
      </c>
      <c r="K9" s="346">
        <f t="shared" si="1"/>
        <v>-0.46094736842105261</v>
      </c>
      <c r="L9" s="346"/>
    </row>
    <row r="10" spans="6:13" hidden="1" x14ac:dyDescent="0.25">
      <c r="F10" s="359" t="s">
        <v>362</v>
      </c>
      <c r="G10" s="358" t="s">
        <v>371</v>
      </c>
      <c r="H10" s="354">
        <f>20*0.95</f>
        <v>19</v>
      </c>
      <c r="I10" s="354">
        <v>7.2530000000000001</v>
      </c>
      <c r="J10" s="346">
        <f t="shared" si="0"/>
        <v>0.38173684210526315</v>
      </c>
      <c r="K10" s="346">
        <f t="shared" si="1"/>
        <v>-0.38173684210526315</v>
      </c>
      <c r="L10" s="346"/>
    </row>
    <row r="11" spans="6:13" hidden="1" x14ac:dyDescent="0.25">
      <c r="F11" s="359" t="s">
        <v>135</v>
      </c>
      <c r="G11" s="358" t="s">
        <v>367</v>
      </c>
      <c r="H11" s="353">
        <v>19</v>
      </c>
      <c r="I11" s="353">
        <v>7.718</v>
      </c>
      <c r="J11" s="346">
        <f t="shared" si="0"/>
        <v>0.40621052631578947</v>
      </c>
      <c r="K11" s="346">
        <f t="shared" si="1"/>
        <v>-0.40621052631578947</v>
      </c>
      <c r="L11" s="346"/>
    </row>
    <row r="12" spans="6:13" hidden="1" x14ac:dyDescent="0.25">
      <c r="F12" s="359" t="s">
        <v>126</v>
      </c>
      <c r="G12" s="358" t="s">
        <v>367</v>
      </c>
      <c r="H12" s="353">
        <v>28.5</v>
      </c>
      <c r="I12" s="353">
        <v>11.036</v>
      </c>
      <c r="J12" s="346">
        <f t="shared" si="0"/>
        <v>0.38722807017543859</v>
      </c>
      <c r="K12" s="346">
        <f t="shared" si="1"/>
        <v>-0.38722807017543859</v>
      </c>
      <c r="L12" s="346"/>
    </row>
    <row r="13" spans="6:13" hidden="1" x14ac:dyDescent="0.25">
      <c r="F13" s="359" t="s">
        <v>127</v>
      </c>
      <c r="G13" s="358" t="s">
        <v>367</v>
      </c>
      <c r="H13" s="353">
        <v>28.5</v>
      </c>
      <c r="I13" s="353">
        <v>11.416</v>
      </c>
      <c r="J13" s="346">
        <f t="shared" si="0"/>
        <v>0.40056140350877195</v>
      </c>
      <c r="K13" s="346">
        <f t="shared" si="1"/>
        <v>-0.40056140350877195</v>
      </c>
      <c r="L13" s="346"/>
    </row>
    <row r="14" spans="6:13" hidden="1" x14ac:dyDescent="0.25">
      <c r="F14" s="359" t="s">
        <v>142</v>
      </c>
      <c r="G14" s="358" t="s">
        <v>367</v>
      </c>
      <c r="H14" s="353">
        <v>19</v>
      </c>
      <c r="I14" s="353">
        <v>7.6130000000000004</v>
      </c>
      <c r="J14" s="346" t="e">
        <f>#REF!/H14</f>
        <v>#REF!</v>
      </c>
      <c r="K14" s="346" t="e">
        <f t="shared" si="1"/>
        <v>#REF!</v>
      </c>
      <c r="L14" s="346"/>
    </row>
    <row r="15" spans="6:13" hidden="1" x14ac:dyDescent="0.25">
      <c r="F15" s="359" t="s">
        <v>143</v>
      </c>
      <c r="G15" s="358" t="s">
        <v>368</v>
      </c>
      <c r="H15" s="353">
        <v>8.9</v>
      </c>
      <c r="I15" s="353">
        <v>3.399</v>
      </c>
      <c r="J15" s="346" t="e">
        <f>#REF!/H15</f>
        <v>#REF!</v>
      </c>
      <c r="K15" s="346" t="e">
        <f t="shared" si="1"/>
        <v>#REF!</v>
      </c>
      <c r="L15" s="346"/>
    </row>
    <row r="16" spans="6:13" x14ac:dyDescent="0.25">
      <c r="F16" s="359" t="s">
        <v>147</v>
      </c>
      <c r="G16" s="358" t="s">
        <v>366</v>
      </c>
      <c r="H16" s="353">
        <v>8.9</v>
      </c>
      <c r="I16" s="353">
        <v>7.7</v>
      </c>
      <c r="J16" s="346">
        <f>I16/H16</f>
        <v>0.8651685393258427</v>
      </c>
      <c r="K16" s="346">
        <f>M8-J16</f>
        <v>0.1348314606741573</v>
      </c>
      <c r="L16" s="346"/>
    </row>
    <row r="17" spans="6:10" hidden="1" x14ac:dyDescent="0.25">
      <c r="F17" s="347" t="s">
        <v>137</v>
      </c>
      <c r="G17" s="348" t="s">
        <v>368</v>
      </c>
      <c r="H17" s="349">
        <v>19</v>
      </c>
      <c r="I17" s="349">
        <v>5.5890000000000004</v>
      </c>
      <c r="J17" s="350" t="e">
        <f>#REF!/H17</f>
        <v>#REF!</v>
      </c>
    </row>
    <row r="18" spans="6:10" hidden="1" x14ac:dyDescent="0.25">
      <c r="F18" s="295" t="s">
        <v>145</v>
      </c>
      <c r="G18" s="278" t="s">
        <v>366</v>
      </c>
      <c r="H18" s="280">
        <v>8.9</v>
      </c>
      <c r="I18" s="280">
        <v>2.827</v>
      </c>
      <c r="J18" s="292" t="e">
        <f>#REF!/H18</f>
        <v>#REF!</v>
      </c>
    </row>
    <row r="19" spans="6:10" hidden="1" x14ac:dyDescent="0.25">
      <c r="F19" s="295" t="s">
        <v>296</v>
      </c>
      <c r="G19" s="278" t="s">
        <v>366</v>
      </c>
      <c r="H19" s="280">
        <v>5.9</v>
      </c>
      <c r="I19" s="280">
        <v>1.7889999999999999</v>
      </c>
      <c r="J19" s="292" t="e">
        <f>#REF!/H19</f>
        <v>#REF!</v>
      </c>
    </row>
    <row r="20" spans="6:10" hidden="1" x14ac:dyDescent="0.25">
      <c r="F20" s="295" t="s">
        <v>138</v>
      </c>
      <c r="G20" s="278" t="s">
        <v>368</v>
      </c>
      <c r="H20" s="279">
        <v>19</v>
      </c>
      <c r="I20" s="279">
        <v>4.8739999999999997</v>
      </c>
      <c r="J20" s="292" t="e">
        <f>#REF!/H20</f>
        <v>#REF!</v>
      </c>
    </row>
    <row r="21" spans="6:10" hidden="1" x14ac:dyDescent="0.25">
      <c r="F21" s="295" t="s">
        <v>140</v>
      </c>
      <c r="G21" s="278" t="s">
        <v>367</v>
      </c>
      <c r="H21" s="279">
        <v>19</v>
      </c>
      <c r="I21" s="279">
        <v>4.9560000000000004</v>
      </c>
      <c r="J21" s="292" t="e">
        <f>#REF!/H21</f>
        <v>#REF!</v>
      </c>
    </row>
    <row r="22" spans="6:10" hidden="1" x14ac:dyDescent="0.25">
      <c r="F22" s="295" t="s">
        <v>295</v>
      </c>
      <c r="G22" s="278" t="s">
        <v>367</v>
      </c>
      <c r="H22" s="279">
        <v>11.9</v>
      </c>
      <c r="I22" s="279">
        <v>3</v>
      </c>
      <c r="J22" s="292" t="e">
        <f>#REF!/H22</f>
        <v>#REF!</v>
      </c>
    </row>
    <row r="23" spans="6:10" hidden="1" x14ac:dyDescent="0.25">
      <c r="F23" s="295" t="s">
        <v>144</v>
      </c>
      <c r="G23" s="278" t="s">
        <v>368</v>
      </c>
      <c r="H23" s="279">
        <v>19</v>
      </c>
      <c r="I23" s="279">
        <v>4.87</v>
      </c>
      <c r="J23" s="292" t="e">
        <f>#REF!/H23</f>
        <v>#REF!</v>
      </c>
    </row>
    <row r="24" spans="6:10" hidden="1" x14ac:dyDescent="0.25">
      <c r="F24" s="295" t="s">
        <v>128</v>
      </c>
      <c r="G24" s="278" t="s">
        <v>368</v>
      </c>
      <c r="H24" s="279">
        <v>19</v>
      </c>
      <c r="I24" s="279">
        <v>3.2909999999999999</v>
      </c>
      <c r="J24" s="292" t="e">
        <f>#REF!/H24</f>
        <v>#REF!</v>
      </c>
    </row>
    <row r="25" spans="6:10" hidden="1" x14ac:dyDescent="0.25">
      <c r="F25" s="295" t="s">
        <v>158</v>
      </c>
      <c r="G25" s="278" t="s">
        <v>368</v>
      </c>
      <c r="H25" s="279">
        <v>19</v>
      </c>
      <c r="I25" s="279">
        <v>3.13</v>
      </c>
      <c r="J25" s="292" t="e">
        <f>#REF!/H25</f>
        <v>#REF!</v>
      </c>
    </row>
    <row r="26" spans="6:10" hidden="1" x14ac:dyDescent="0.25">
      <c r="F26" s="343" t="s">
        <v>147</v>
      </c>
      <c r="G26" s="344" t="s">
        <v>366</v>
      </c>
      <c r="H26" s="345">
        <v>8.9</v>
      </c>
      <c r="I26" s="345">
        <v>6.665</v>
      </c>
      <c r="J26" s="346">
        <f>I26/H26</f>
        <v>0.74887640449438198</v>
      </c>
    </row>
    <row r="27" spans="6:10" hidden="1" x14ac:dyDescent="0.25"/>
    <row r="28" spans="6:10" hidden="1" x14ac:dyDescent="0.25"/>
    <row r="29" spans="6:10" hidden="1" x14ac:dyDescent="0.25"/>
    <row r="30" spans="6:10" hidden="1" x14ac:dyDescent="0.25"/>
    <row r="31" spans="6:10" hidden="1" x14ac:dyDescent="0.25"/>
    <row r="32" spans="6:10" hidden="1" x14ac:dyDescent="0.25"/>
    <row r="33" spans="6:12" hidden="1" x14ac:dyDescent="0.25"/>
    <row r="35" spans="6:12" x14ac:dyDescent="0.25">
      <c r="F35" s="394" t="s">
        <v>427</v>
      </c>
      <c r="G35" s="394" t="s">
        <v>428</v>
      </c>
      <c r="H35" s="394" t="s">
        <v>424</v>
      </c>
      <c r="I35" s="394" t="s">
        <v>425</v>
      </c>
      <c r="J35" s="394" t="s">
        <v>423</v>
      </c>
      <c r="K35" s="394" t="s">
        <v>426</v>
      </c>
      <c r="L35" s="394" t="s">
        <v>430</v>
      </c>
    </row>
    <row r="36" spans="6:12" x14ac:dyDescent="0.25">
      <c r="F36" s="394"/>
      <c r="G36" s="394"/>
      <c r="H36" s="394"/>
      <c r="I36" s="394"/>
      <c r="J36" s="394"/>
      <c r="K36" s="394"/>
      <c r="L36" s="394"/>
    </row>
    <row r="37" spans="6:12" x14ac:dyDescent="0.25">
      <c r="F37" s="394"/>
      <c r="G37" s="394"/>
      <c r="H37" s="394"/>
      <c r="I37" s="394"/>
      <c r="J37" s="394"/>
      <c r="K37" s="394"/>
      <c r="L37" s="394"/>
    </row>
    <row r="38" spans="6:12" x14ac:dyDescent="0.25">
      <c r="F38" s="343" t="s">
        <v>357</v>
      </c>
      <c r="G38" s="352">
        <v>34.5</v>
      </c>
      <c r="H38" s="356">
        <v>9.5</v>
      </c>
      <c r="I38" s="356">
        <v>8.1</v>
      </c>
      <c r="J38" s="346">
        <f t="shared" ref="J38:J43" si="2">I38/H38</f>
        <v>0.85263157894736841</v>
      </c>
      <c r="K38" s="346">
        <f>M8-J38</f>
        <v>0.14736842105263159</v>
      </c>
      <c r="L38" s="346"/>
    </row>
    <row r="39" spans="6:12" x14ac:dyDescent="0.25">
      <c r="F39" s="343" t="s">
        <v>429</v>
      </c>
      <c r="G39" s="352">
        <v>34.5</v>
      </c>
      <c r="H39" s="356">
        <v>9.5</v>
      </c>
      <c r="I39" s="356">
        <v>2.5</v>
      </c>
      <c r="J39" s="346">
        <f t="shared" si="2"/>
        <v>0.26315789473684209</v>
      </c>
      <c r="K39" s="346">
        <f>M8-$J$38</f>
        <v>0.14736842105263159</v>
      </c>
      <c r="L39" s="346"/>
    </row>
    <row r="40" spans="6:12" x14ac:dyDescent="0.25">
      <c r="F40" s="343" t="s">
        <v>259</v>
      </c>
      <c r="G40" s="351">
        <v>13.8</v>
      </c>
      <c r="H40" s="355">
        <v>4.75</v>
      </c>
      <c r="I40" s="356">
        <v>2.2000000000000002</v>
      </c>
      <c r="J40" s="346">
        <f t="shared" si="2"/>
        <v>0.46315789473684216</v>
      </c>
      <c r="K40" s="346">
        <f>M8-$J$40</f>
        <v>0.53684210526315779</v>
      </c>
      <c r="L40" s="346"/>
    </row>
    <row r="41" spans="6:12" x14ac:dyDescent="0.25">
      <c r="F41" s="343" t="s">
        <v>260</v>
      </c>
      <c r="G41" s="351">
        <v>13.8</v>
      </c>
      <c r="H41" s="355">
        <v>4.75</v>
      </c>
      <c r="I41" s="356">
        <v>1.1000000000000001</v>
      </c>
      <c r="J41" s="346">
        <f t="shared" si="2"/>
        <v>0.23157894736842108</v>
      </c>
      <c r="K41" s="346">
        <f>M8-$J$41</f>
        <v>0.76842105263157889</v>
      </c>
      <c r="L41" s="346"/>
    </row>
    <row r="42" spans="6:12" x14ac:dyDescent="0.25">
      <c r="F42" s="343" t="s">
        <v>261</v>
      </c>
      <c r="G42" s="351">
        <v>13.8</v>
      </c>
      <c r="H42" s="355">
        <v>4.75</v>
      </c>
      <c r="I42" s="356">
        <v>0.84</v>
      </c>
      <c r="J42" s="346">
        <f t="shared" si="2"/>
        <v>0.17684210526315788</v>
      </c>
      <c r="K42" s="346">
        <f>M8-$J$42</f>
        <v>0.82315789473684209</v>
      </c>
      <c r="L42" s="346"/>
    </row>
    <row r="43" spans="6:12" x14ac:dyDescent="0.25">
      <c r="F43" s="343" t="s">
        <v>262</v>
      </c>
      <c r="G43" s="351">
        <v>13.8</v>
      </c>
      <c r="H43" s="355">
        <v>4.75</v>
      </c>
      <c r="I43" s="356">
        <v>4.0999999999999996</v>
      </c>
      <c r="J43" s="346">
        <f t="shared" si="2"/>
        <v>0.86315789473684201</v>
      </c>
      <c r="K43" s="346">
        <f>M8-$J$43</f>
        <v>0.13684210526315799</v>
      </c>
      <c r="L43" s="346"/>
    </row>
  </sheetData>
  <mergeCells count="14">
    <mergeCell ref="L5:L7"/>
    <mergeCell ref="L35:L37"/>
    <mergeCell ref="J5:J7"/>
    <mergeCell ref="K5:K7"/>
    <mergeCell ref="J35:J37"/>
    <mergeCell ref="K35:K37"/>
    <mergeCell ref="G5:G7"/>
    <mergeCell ref="H5:H7"/>
    <mergeCell ref="I5:I7"/>
    <mergeCell ref="F5:F7"/>
    <mergeCell ref="F35:F37"/>
    <mergeCell ref="G35:G37"/>
    <mergeCell ref="H35:H37"/>
    <mergeCell ref="I35:I37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FF6600"/>
  </sheetPr>
  <dimension ref="A1:EL82"/>
  <sheetViews>
    <sheetView tabSelected="1" topLeftCell="BA1" zoomScale="80" zoomScaleNormal="80" workbookViewId="0">
      <selection activeCell="BD26" sqref="BD26:BD27"/>
    </sheetView>
  </sheetViews>
  <sheetFormatPr baseColWidth="10" defaultRowHeight="13.2" x14ac:dyDescent="0.25"/>
  <cols>
    <col min="5" max="5" width="19.77734375" customWidth="1"/>
    <col min="6" max="6" width="19.33203125" customWidth="1"/>
    <col min="7" max="7" width="24.6640625" customWidth="1"/>
    <col min="8" max="8" width="15.44140625" customWidth="1"/>
    <col min="9" max="9" width="19.21875" customWidth="1"/>
    <col min="16" max="16" width="19.77734375" customWidth="1"/>
    <col min="17" max="17" width="19.33203125" customWidth="1"/>
    <col min="18" max="18" width="24.6640625" customWidth="1"/>
    <col min="19" max="19" width="15.44140625" customWidth="1"/>
    <col min="20" max="20" width="19.21875" customWidth="1"/>
    <col min="27" max="27" width="19.77734375" customWidth="1"/>
    <col min="28" max="28" width="19.33203125" customWidth="1"/>
    <col min="29" max="29" width="24.6640625" customWidth="1"/>
    <col min="30" max="30" width="15.44140625" customWidth="1"/>
    <col min="31" max="31" width="19.21875" customWidth="1"/>
    <col min="38" max="38" width="19.77734375" customWidth="1"/>
    <col min="39" max="39" width="19.33203125" customWidth="1"/>
    <col min="40" max="40" width="24.6640625" customWidth="1"/>
    <col min="41" max="41" width="15.44140625" customWidth="1"/>
    <col min="42" max="42" width="19.21875" customWidth="1"/>
    <col min="49" max="49" width="19.77734375" customWidth="1"/>
    <col min="50" max="50" width="19.33203125" customWidth="1"/>
    <col min="51" max="51" width="24.6640625" customWidth="1"/>
    <col min="52" max="52" width="15.44140625" customWidth="1"/>
    <col min="53" max="53" width="19.21875" customWidth="1"/>
    <col min="56" max="56" width="18.88671875" customWidth="1"/>
    <col min="60" max="60" width="19.77734375" customWidth="1"/>
    <col min="61" max="61" width="19.33203125" customWidth="1"/>
    <col min="62" max="62" width="24.6640625" customWidth="1"/>
    <col min="63" max="63" width="15.44140625" customWidth="1"/>
    <col min="64" max="64" width="19.21875" customWidth="1"/>
    <col min="71" max="71" width="19.77734375" customWidth="1"/>
    <col min="72" max="72" width="19.33203125" customWidth="1"/>
    <col min="73" max="73" width="24.6640625" customWidth="1"/>
    <col min="74" max="74" width="15.44140625" customWidth="1"/>
    <col min="75" max="75" width="19.21875" customWidth="1"/>
    <col min="82" max="82" width="19.77734375" customWidth="1"/>
    <col min="83" max="83" width="19.33203125" customWidth="1"/>
    <col min="84" max="84" width="24.6640625" customWidth="1"/>
    <col min="85" max="85" width="15.44140625" customWidth="1"/>
    <col min="86" max="86" width="19.21875" customWidth="1"/>
    <col min="93" max="93" width="19.77734375" customWidth="1"/>
    <col min="94" max="94" width="19.33203125" customWidth="1"/>
    <col min="95" max="95" width="24.6640625" customWidth="1"/>
    <col min="96" max="96" width="15.44140625" customWidth="1"/>
    <col min="97" max="97" width="19.21875" customWidth="1"/>
    <col min="104" max="104" width="19.77734375" customWidth="1"/>
    <col min="105" max="105" width="19.33203125" customWidth="1"/>
    <col min="106" max="106" width="24.6640625" customWidth="1"/>
    <col min="107" max="107" width="15.44140625" customWidth="1"/>
    <col min="108" max="108" width="19.21875" customWidth="1"/>
    <col min="115" max="115" width="19.77734375" customWidth="1"/>
    <col min="116" max="116" width="19.33203125" customWidth="1"/>
    <col min="117" max="117" width="24.6640625" customWidth="1"/>
    <col min="118" max="118" width="15.44140625" customWidth="1"/>
    <col min="119" max="119" width="19.21875" customWidth="1"/>
    <col min="126" max="126" width="19.77734375" customWidth="1"/>
    <col min="127" max="127" width="19.33203125" customWidth="1"/>
    <col min="128" max="128" width="24.6640625" customWidth="1"/>
    <col min="129" max="129" width="15.44140625" customWidth="1"/>
    <col min="130" max="130" width="19.21875" customWidth="1"/>
    <col min="137" max="137" width="19.77734375" customWidth="1"/>
    <col min="138" max="138" width="19.33203125" customWidth="1"/>
    <col min="139" max="139" width="24.6640625" customWidth="1"/>
    <col min="140" max="140" width="15.44140625" customWidth="1"/>
    <col min="141" max="141" width="19.21875" customWidth="1"/>
  </cols>
  <sheetData>
    <row r="1" spans="1:142" ht="21" x14ac:dyDescent="0.4">
      <c r="A1" s="401">
        <v>44531</v>
      </c>
      <c r="B1" s="402"/>
      <c r="C1" s="402"/>
      <c r="D1" s="402"/>
      <c r="E1" s="402"/>
      <c r="F1" s="402"/>
      <c r="G1" s="402"/>
      <c r="H1" s="402"/>
      <c r="I1" s="402"/>
      <c r="J1" s="403"/>
      <c r="K1" s="365"/>
      <c r="L1" s="399">
        <v>44562</v>
      </c>
      <c r="M1" s="400"/>
      <c r="N1" s="400"/>
      <c r="O1" s="400"/>
      <c r="P1" s="400"/>
      <c r="Q1" s="400"/>
      <c r="R1" s="400"/>
      <c r="S1" s="400"/>
      <c r="T1" s="400"/>
      <c r="U1" s="400"/>
      <c r="V1" s="365"/>
      <c r="W1" s="399">
        <v>44593</v>
      </c>
      <c r="X1" s="400"/>
      <c r="Y1" s="400"/>
      <c r="Z1" s="400"/>
      <c r="AA1" s="400"/>
      <c r="AB1" s="400"/>
      <c r="AC1" s="400"/>
      <c r="AD1" s="400"/>
      <c r="AE1" s="400"/>
      <c r="AF1" s="400"/>
      <c r="AG1" s="365"/>
      <c r="AH1" s="399">
        <v>44621</v>
      </c>
      <c r="AI1" s="400"/>
      <c r="AJ1" s="400"/>
      <c r="AK1" s="400"/>
      <c r="AL1" s="400"/>
      <c r="AM1" s="400"/>
      <c r="AN1" s="400"/>
      <c r="AO1" s="400"/>
      <c r="AP1" s="400"/>
      <c r="AQ1" s="400"/>
      <c r="AR1" s="365"/>
      <c r="AS1" s="399">
        <v>44652</v>
      </c>
      <c r="AT1" s="400"/>
      <c r="AU1" s="400"/>
      <c r="AV1" s="400"/>
      <c r="AW1" s="400"/>
      <c r="AX1" s="400"/>
      <c r="AY1" s="400"/>
      <c r="AZ1" s="400"/>
      <c r="BA1" s="400"/>
      <c r="BB1" s="400"/>
      <c r="BC1" s="365"/>
      <c r="BD1" s="399">
        <v>44682</v>
      </c>
      <c r="BE1" s="400"/>
      <c r="BF1" s="400"/>
      <c r="BG1" s="400"/>
      <c r="BH1" s="400"/>
      <c r="BI1" s="400"/>
      <c r="BJ1" s="400"/>
      <c r="BK1" s="400"/>
      <c r="BL1" s="400"/>
      <c r="BM1" s="400"/>
      <c r="BN1" s="365"/>
      <c r="BO1" s="399">
        <v>44713</v>
      </c>
      <c r="BP1" s="400"/>
      <c r="BQ1" s="400"/>
      <c r="BR1" s="400"/>
      <c r="BS1" s="400"/>
      <c r="BT1" s="400"/>
      <c r="BU1" s="400"/>
      <c r="BV1" s="400"/>
      <c r="BW1" s="400"/>
      <c r="BX1" s="400"/>
      <c r="BY1" s="365"/>
      <c r="BZ1" s="399">
        <v>44743</v>
      </c>
      <c r="CA1" s="400"/>
      <c r="CB1" s="400"/>
      <c r="CC1" s="400"/>
      <c r="CD1" s="400"/>
      <c r="CE1" s="400"/>
      <c r="CF1" s="400"/>
      <c r="CG1" s="400"/>
      <c r="CH1" s="400"/>
      <c r="CI1" s="400"/>
      <c r="CJ1" s="365"/>
      <c r="CK1" s="399">
        <v>44774</v>
      </c>
      <c r="CL1" s="400"/>
      <c r="CM1" s="400"/>
      <c r="CN1" s="400"/>
      <c r="CO1" s="400"/>
      <c r="CP1" s="400"/>
      <c r="CQ1" s="400"/>
      <c r="CR1" s="400"/>
      <c r="CS1" s="400"/>
      <c r="CT1" s="400"/>
      <c r="CU1" s="365"/>
      <c r="CV1" s="399">
        <v>44805</v>
      </c>
      <c r="CW1" s="400"/>
      <c r="CX1" s="400"/>
      <c r="CY1" s="400"/>
      <c r="CZ1" s="400"/>
      <c r="DA1" s="400"/>
      <c r="DB1" s="400"/>
      <c r="DC1" s="400"/>
      <c r="DD1" s="400"/>
      <c r="DE1" s="400"/>
      <c r="DF1" s="365"/>
      <c r="DG1" s="399">
        <v>44835</v>
      </c>
      <c r="DH1" s="400"/>
      <c r="DI1" s="400"/>
      <c r="DJ1" s="400"/>
      <c r="DK1" s="400"/>
      <c r="DL1" s="400"/>
      <c r="DM1" s="400"/>
      <c r="DN1" s="400"/>
      <c r="DO1" s="400"/>
      <c r="DP1" s="400"/>
      <c r="DQ1" s="365"/>
      <c r="DR1" s="399">
        <v>44866</v>
      </c>
      <c r="DS1" s="400"/>
      <c r="DT1" s="400"/>
      <c r="DU1" s="400"/>
      <c r="DV1" s="400"/>
      <c r="DW1" s="400"/>
      <c r="DX1" s="400"/>
      <c r="DY1" s="400"/>
      <c r="DZ1" s="400"/>
      <c r="EA1" s="400"/>
      <c r="EC1" s="399">
        <v>44896</v>
      </c>
      <c r="ED1" s="400"/>
      <c r="EE1" s="400"/>
      <c r="EF1" s="400"/>
      <c r="EG1" s="400"/>
      <c r="EH1" s="400"/>
      <c r="EI1" s="400"/>
      <c r="EJ1" s="400"/>
      <c r="EK1" s="400"/>
      <c r="EL1" s="400"/>
    </row>
    <row r="2" spans="1:142" ht="39.6" x14ac:dyDescent="0.25">
      <c r="A2" s="373" t="s">
        <v>437</v>
      </c>
      <c r="B2" s="373" t="s">
        <v>438</v>
      </c>
      <c r="C2" s="373" t="s">
        <v>439</v>
      </c>
      <c r="D2" s="373" t="s">
        <v>440</v>
      </c>
      <c r="E2" s="373" t="s">
        <v>441</v>
      </c>
      <c r="F2" s="373" t="s">
        <v>442</v>
      </c>
      <c r="G2" s="373" t="s">
        <v>443</v>
      </c>
      <c r="H2" s="373" t="s">
        <v>444</v>
      </c>
      <c r="I2" s="373" t="s">
        <v>445</v>
      </c>
      <c r="J2" s="374" t="s">
        <v>446</v>
      </c>
      <c r="K2" s="366"/>
      <c r="L2" s="373" t="s">
        <v>437</v>
      </c>
      <c r="M2" s="373" t="s">
        <v>438</v>
      </c>
      <c r="N2" s="373" t="s">
        <v>439</v>
      </c>
      <c r="O2" s="373" t="s">
        <v>440</v>
      </c>
      <c r="P2" s="373" t="s">
        <v>441</v>
      </c>
      <c r="Q2" s="373" t="s">
        <v>442</v>
      </c>
      <c r="R2" s="373" t="s">
        <v>443</v>
      </c>
      <c r="S2" s="373" t="s">
        <v>444</v>
      </c>
      <c r="T2" s="373" t="s">
        <v>445</v>
      </c>
      <c r="U2" s="374" t="s">
        <v>446</v>
      </c>
      <c r="V2" s="366"/>
      <c r="W2" s="373" t="s">
        <v>437</v>
      </c>
      <c r="X2" s="373" t="s">
        <v>438</v>
      </c>
      <c r="Y2" s="373" t="s">
        <v>439</v>
      </c>
      <c r="Z2" s="373" t="s">
        <v>440</v>
      </c>
      <c r="AA2" s="373" t="s">
        <v>441</v>
      </c>
      <c r="AB2" s="373" t="s">
        <v>442</v>
      </c>
      <c r="AC2" s="373" t="s">
        <v>443</v>
      </c>
      <c r="AD2" s="373" t="s">
        <v>444</v>
      </c>
      <c r="AE2" s="373" t="s">
        <v>445</v>
      </c>
      <c r="AF2" s="374" t="s">
        <v>446</v>
      </c>
      <c r="AG2" s="366"/>
      <c r="AH2" s="373" t="s">
        <v>437</v>
      </c>
      <c r="AI2" s="373" t="s">
        <v>438</v>
      </c>
      <c r="AJ2" s="373" t="s">
        <v>439</v>
      </c>
      <c r="AK2" s="373" t="s">
        <v>440</v>
      </c>
      <c r="AL2" s="373" t="s">
        <v>441</v>
      </c>
      <c r="AM2" s="373" t="s">
        <v>442</v>
      </c>
      <c r="AN2" s="373" t="s">
        <v>443</v>
      </c>
      <c r="AO2" s="373" t="s">
        <v>444</v>
      </c>
      <c r="AP2" s="373" t="s">
        <v>445</v>
      </c>
      <c r="AQ2" s="374" t="s">
        <v>446</v>
      </c>
      <c r="AR2" s="366"/>
      <c r="AS2" s="373" t="s">
        <v>437</v>
      </c>
      <c r="AT2" s="373" t="s">
        <v>438</v>
      </c>
      <c r="AU2" s="373" t="s">
        <v>439</v>
      </c>
      <c r="AV2" s="373" t="s">
        <v>440</v>
      </c>
      <c r="AW2" s="373" t="s">
        <v>441</v>
      </c>
      <c r="AX2" s="373" t="s">
        <v>442</v>
      </c>
      <c r="AY2" s="373" t="s">
        <v>443</v>
      </c>
      <c r="AZ2" s="373" t="s">
        <v>444</v>
      </c>
      <c r="BA2" s="373" t="s">
        <v>445</v>
      </c>
      <c r="BB2" s="374" t="s">
        <v>446</v>
      </c>
      <c r="BC2" s="366"/>
      <c r="BD2" s="371" t="s">
        <v>437</v>
      </c>
      <c r="BE2" s="371" t="s">
        <v>438</v>
      </c>
      <c r="BF2" s="371" t="s">
        <v>439</v>
      </c>
      <c r="BG2" s="371" t="s">
        <v>440</v>
      </c>
      <c r="BH2" s="371" t="s">
        <v>441</v>
      </c>
      <c r="BI2" s="371" t="s">
        <v>442</v>
      </c>
      <c r="BJ2" s="371" t="s">
        <v>443</v>
      </c>
      <c r="BK2" s="371" t="s">
        <v>444</v>
      </c>
      <c r="BL2" s="371" t="s">
        <v>445</v>
      </c>
      <c r="BM2" s="372" t="s">
        <v>446</v>
      </c>
      <c r="BN2" s="366"/>
      <c r="BO2" s="373" t="s">
        <v>437</v>
      </c>
      <c r="BP2" s="373" t="s">
        <v>438</v>
      </c>
      <c r="BQ2" s="373" t="s">
        <v>439</v>
      </c>
      <c r="BR2" s="373" t="s">
        <v>440</v>
      </c>
      <c r="BS2" s="373" t="s">
        <v>441</v>
      </c>
      <c r="BT2" s="373" t="s">
        <v>442</v>
      </c>
      <c r="BU2" s="373" t="s">
        <v>443</v>
      </c>
      <c r="BV2" s="373" t="s">
        <v>444</v>
      </c>
      <c r="BW2" s="373" t="s">
        <v>445</v>
      </c>
      <c r="BX2" s="374" t="s">
        <v>446</v>
      </c>
      <c r="BY2" s="366"/>
      <c r="BZ2" s="373" t="s">
        <v>437</v>
      </c>
      <c r="CA2" s="373" t="s">
        <v>438</v>
      </c>
      <c r="CB2" s="373" t="s">
        <v>439</v>
      </c>
      <c r="CC2" s="373" t="s">
        <v>440</v>
      </c>
      <c r="CD2" s="373" t="s">
        <v>441</v>
      </c>
      <c r="CE2" s="373" t="s">
        <v>442</v>
      </c>
      <c r="CF2" s="373" t="s">
        <v>443</v>
      </c>
      <c r="CG2" s="373" t="s">
        <v>444</v>
      </c>
      <c r="CH2" s="373" t="s">
        <v>445</v>
      </c>
      <c r="CI2" s="374" t="s">
        <v>446</v>
      </c>
      <c r="CJ2" s="366"/>
      <c r="CK2" s="373" t="s">
        <v>437</v>
      </c>
      <c r="CL2" s="373" t="s">
        <v>438</v>
      </c>
      <c r="CM2" s="373" t="s">
        <v>439</v>
      </c>
      <c r="CN2" s="373" t="s">
        <v>440</v>
      </c>
      <c r="CO2" s="373" t="s">
        <v>441</v>
      </c>
      <c r="CP2" s="373" t="s">
        <v>442</v>
      </c>
      <c r="CQ2" s="373" t="s">
        <v>443</v>
      </c>
      <c r="CR2" s="373" t="s">
        <v>444</v>
      </c>
      <c r="CS2" s="373" t="s">
        <v>445</v>
      </c>
      <c r="CT2" s="374" t="s">
        <v>446</v>
      </c>
      <c r="CU2" s="366"/>
      <c r="CV2" s="373" t="s">
        <v>437</v>
      </c>
      <c r="CW2" s="373" t="s">
        <v>438</v>
      </c>
      <c r="CX2" s="373" t="s">
        <v>439</v>
      </c>
      <c r="CY2" s="373" t="s">
        <v>440</v>
      </c>
      <c r="CZ2" s="373" t="s">
        <v>441</v>
      </c>
      <c r="DA2" s="373" t="s">
        <v>442</v>
      </c>
      <c r="DB2" s="373" t="s">
        <v>443</v>
      </c>
      <c r="DC2" s="373" t="s">
        <v>444</v>
      </c>
      <c r="DD2" s="373" t="s">
        <v>445</v>
      </c>
      <c r="DE2" s="374" t="s">
        <v>446</v>
      </c>
      <c r="DF2" s="366"/>
      <c r="DG2" s="373" t="s">
        <v>437</v>
      </c>
      <c r="DH2" s="373" t="s">
        <v>438</v>
      </c>
      <c r="DI2" s="373" t="s">
        <v>439</v>
      </c>
      <c r="DJ2" s="373" t="s">
        <v>440</v>
      </c>
      <c r="DK2" s="373" t="s">
        <v>441</v>
      </c>
      <c r="DL2" s="373" t="s">
        <v>442</v>
      </c>
      <c r="DM2" s="373" t="s">
        <v>443</v>
      </c>
      <c r="DN2" s="373" t="s">
        <v>444</v>
      </c>
      <c r="DO2" s="373" t="s">
        <v>445</v>
      </c>
      <c r="DP2" s="374" t="s">
        <v>446</v>
      </c>
      <c r="DQ2" s="366"/>
      <c r="DR2" s="373" t="s">
        <v>437</v>
      </c>
      <c r="DS2" s="373" t="s">
        <v>438</v>
      </c>
      <c r="DT2" s="373" t="s">
        <v>439</v>
      </c>
      <c r="DU2" s="373" t="s">
        <v>440</v>
      </c>
      <c r="DV2" s="373" t="s">
        <v>441</v>
      </c>
      <c r="DW2" s="373" t="s">
        <v>442</v>
      </c>
      <c r="DX2" s="373" t="s">
        <v>443</v>
      </c>
      <c r="DY2" s="373" t="s">
        <v>444</v>
      </c>
      <c r="DZ2" s="373" t="s">
        <v>445</v>
      </c>
      <c r="EA2" s="374" t="s">
        <v>446</v>
      </c>
      <c r="EC2" s="373" t="s">
        <v>437</v>
      </c>
      <c r="ED2" s="373" t="s">
        <v>438</v>
      </c>
      <c r="EE2" s="373" t="s">
        <v>439</v>
      </c>
      <c r="EF2" s="373" t="s">
        <v>440</v>
      </c>
      <c r="EG2" s="373" t="s">
        <v>441</v>
      </c>
      <c r="EH2" s="373" t="s">
        <v>442</v>
      </c>
      <c r="EI2" s="373" t="s">
        <v>443</v>
      </c>
      <c r="EJ2" s="373" t="s">
        <v>444</v>
      </c>
      <c r="EK2" s="373" t="s">
        <v>445</v>
      </c>
      <c r="EL2" s="374" t="s">
        <v>446</v>
      </c>
    </row>
    <row r="3" spans="1:142" x14ac:dyDescent="0.25">
      <c r="A3" s="367" t="s">
        <v>204</v>
      </c>
      <c r="L3" s="367" t="s">
        <v>204</v>
      </c>
      <c r="W3" s="367" t="s">
        <v>204</v>
      </c>
      <c r="AH3" s="367" t="s">
        <v>204</v>
      </c>
      <c r="AS3" s="367" t="s">
        <v>204</v>
      </c>
      <c r="BD3" s="367" t="s">
        <v>204</v>
      </c>
      <c r="BE3" s="368" t="s">
        <v>447</v>
      </c>
      <c r="BF3" s="368" t="s">
        <v>448</v>
      </c>
      <c r="BG3" s="368" t="s">
        <v>337</v>
      </c>
      <c r="BH3" s="368">
        <v>4321.7417800000003</v>
      </c>
      <c r="BI3" s="368">
        <v>1901.7550040000001</v>
      </c>
      <c r="BJ3" s="368">
        <v>3116.4640509999999</v>
      </c>
      <c r="BK3" s="368">
        <v>2318649.2541209999</v>
      </c>
      <c r="BL3" s="368">
        <v>264553.75747900002</v>
      </c>
      <c r="BM3" s="368">
        <v>0.99636400000000003</v>
      </c>
      <c r="BO3" s="367" t="s">
        <v>204</v>
      </c>
      <c r="BZ3" s="367" t="s">
        <v>204</v>
      </c>
      <c r="CK3" s="367" t="s">
        <v>204</v>
      </c>
      <c r="CV3" s="367" t="s">
        <v>204</v>
      </c>
      <c r="DG3" s="367" t="s">
        <v>204</v>
      </c>
      <c r="DR3" s="367" t="s">
        <v>204</v>
      </c>
      <c r="EC3" s="367" t="s">
        <v>204</v>
      </c>
    </row>
    <row r="4" spans="1:142" x14ac:dyDescent="0.25">
      <c r="A4" s="367" t="s">
        <v>205</v>
      </c>
      <c r="L4" s="367" t="s">
        <v>205</v>
      </c>
      <c r="W4" s="367" t="s">
        <v>205</v>
      </c>
      <c r="AH4" s="367" t="s">
        <v>205</v>
      </c>
      <c r="AS4" s="367" t="s">
        <v>205</v>
      </c>
      <c r="BD4" s="367" t="s">
        <v>205</v>
      </c>
      <c r="BE4" s="368" t="s">
        <v>447</v>
      </c>
      <c r="BF4" s="368" t="s">
        <v>448</v>
      </c>
      <c r="BG4" s="368" t="s">
        <v>337</v>
      </c>
      <c r="BH4" s="368">
        <v>3601.3290229999998</v>
      </c>
      <c r="BI4" s="368">
        <v>1138.356669</v>
      </c>
      <c r="BJ4" s="368">
        <v>2217.4535759999999</v>
      </c>
      <c r="BK4" s="368">
        <v>1649785.461014</v>
      </c>
      <c r="BL4" s="368">
        <v>264803.14989300002</v>
      </c>
      <c r="BM4" s="368">
        <v>0.98194300000000001</v>
      </c>
      <c r="BO4" s="367" t="s">
        <v>205</v>
      </c>
      <c r="BZ4" s="367" t="s">
        <v>205</v>
      </c>
      <c r="CK4" s="367" t="s">
        <v>205</v>
      </c>
      <c r="CV4" s="367" t="s">
        <v>205</v>
      </c>
      <c r="DG4" s="367" t="s">
        <v>205</v>
      </c>
      <c r="DR4" s="367" t="s">
        <v>205</v>
      </c>
      <c r="EC4" s="367" t="s">
        <v>205</v>
      </c>
    </row>
    <row r="5" spans="1:142" x14ac:dyDescent="0.25">
      <c r="A5" s="367" t="s">
        <v>206</v>
      </c>
      <c r="L5" s="367" t="s">
        <v>206</v>
      </c>
      <c r="W5" s="367" t="s">
        <v>206</v>
      </c>
      <c r="AH5" s="367" t="s">
        <v>206</v>
      </c>
      <c r="AS5" s="367" t="s">
        <v>206</v>
      </c>
      <c r="BD5" s="367" t="s">
        <v>206</v>
      </c>
      <c r="BE5" s="368" t="s">
        <v>447</v>
      </c>
      <c r="BF5" s="368" t="s">
        <v>448</v>
      </c>
      <c r="BG5" s="368" t="s">
        <v>337</v>
      </c>
      <c r="BH5" s="368">
        <v>3775.0055419999999</v>
      </c>
      <c r="BI5" s="368">
        <v>964.64898600000004</v>
      </c>
      <c r="BJ5" s="368">
        <v>1881.7199430000001</v>
      </c>
      <c r="BK5" s="368">
        <v>1399999.638215</v>
      </c>
      <c r="BL5" s="368">
        <v>218381.007392</v>
      </c>
      <c r="BM5" s="368">
        <v>0.98382400000000003</v>
      </c>
      <c r="BO5" s="367" t="s">
        <v>206</v>
      </c>
      <c r="BZ5" s="367" t="s">
        <v>206</v>
      </c>
      <c r="CK5" s="367" t="s">
        <v>206</v>
      </c>
      <c r="CV5" s="367" t="s">
        <v>206</v>
      </c>
      <c r="DG5" s="367" t="s">
        <v>206</v>
      </c>
      <c r="DR5" s="367" t="s">
        <v>206</v>
      </c>
      <c r="EC5" s="367" t="s">
        <v>206</v>
      </c>
    </row>
    <row r="6" spans="1:142" x14ac:dyDescent="0.25">
      <c r="A6" s="367" t="s">
        <v>207</v>
      </c>
      <c r="L6" s="367" t="s">
        <v>207</v>
      </c>
      <c r="W6" s="367" t="s">
        <v>207</v>
      </c>
      <c r="AH6" s="367" t="s">
        <v>207</v>
      </c>
      <c r="AS6" s="367" t="s">
        <v>207</v>
      </c>
      <c r="BD6" s="367" t="s">
        <v>207</v>
      </c>
      <c r="BE6" s="368" t="s">
        <v>447</v>
      </c>
      <c r="BF6" s="368" t="s">
        <v>448</v>
      </c>
      <c r="BG6" s="368" t="s">
        <v>337</v>
      </c>
      <c r="BH6" s="368">
        <v>4724.5716140000004</v>
      </c>
      <c r="BI6" s="368">
        <v>1778.5235749999999</v>
      </c>
      <c r="BJ6" s="368">
        <v>2941.1224980000002</v>
      </c>
      <c r="BK6" s="368">
        <v>2188195.1390269999</v>
      </c>
      <c r="BL6" s="368">
        <v>431748.039017</v>
      </c>
      <c r="BM6" s="368">
        <v>0.98630300000000004</v>
      </c>
      <c r="BO6" s="367" t="s">
        <v>207</v>
      </c>
      <c r="BZ6" s="367" t="s">
        <v>207</v>
      </c>
      <c r="CK6" s="367" t="s">
        <v>207</v>
      </c>
      <c r="CV6" s="367" t="s">
        <v>207</v>
      </c>
      <c r="DG6" s="367" t="s">
        <v>207</v>
      </c>
      <c r="DR6" s="367" t="s">
        <v>207</v>
      </c>
      <c r="EC6" s="367" t="s">
        <v>207</v>
      </c>
    </row>
    <row r="7" spans="1:142" x14ac:dyDescent="0.25">
      <c r="A7" s="367" t="s">
        <v>208</v>
      </c>
      <c r="L7" s="367" t="s">
        <v>208</v>
      </c>
      <c r="W7" s="367" t="s">
        <v>208</v>
      </c>
      <c r="AH7" s="367" t="s">
        <v>208</v>
      </c>
      <c r="AS7" s="367" t="s">
        <v>208</v>
      </c>
      <c r="BD7" s="367" t="s">
        <v>208</v>
      </c>
      <c r="BE7" s="368" t="s">
        <v>447</v>
      </c>
      <c r="BF7" s="368" t="s">
        <v>448</v>
      </c>
      <c r="BG7" s="368" t="s">
        <v>337</v>
      </c>
      <c r="BH7" s="368">
        <v>1723.0149939999999</v>
      </c>
      <c r="BI7" s="368">
        <v>130.61716699999999</v>
      </c>
      <c r="BJ7" s="368">
        <v>886.87061700000004</v>
      </c>
      <c r="BK7" s="368">
        <v>659831.73950599995</v>
      </c>
      <c r="BL7" s="368">
        <v>235232.85364300001</v>
      </c>
      <c r="BM7" s="368">
        <v>0.93853900000000001</v>
      </c>
      <c r="BO7" s="367" t="s">
        <v>208</v>
      </c>
      <c r="BZ7" s="367" t="s">
        <v>208</v>
      </c>
      <c r="CK7" s="367" t="s">
        <v>208</v>
      </c>
      <c r="CV7" s="367" t="s">
        <v>208</v>
      </c>
      <c r="DG7" s="367" t="s">
        <v>208</v>
      </c>
      <c r="DR7" s="367" t="s">
        <v>208</v>
      </c>
      <c r="EC7" s="367" t="s">
        <v>208</v>
      </c>
    </row>
    <row r="8" spans="1:142" x14ac:dyDescent="0.25">
      <c r="A8" t="s">
        <v>211</v>
      </c>
      <c r="L8" t="s">
        <v>211</v>
      </c>
      <c r="W8" t="s">
        <v>211</v>
      </c>
      <c r="AH8" t="s">
        <v>211</v>
      </c>
      <c r="AS8" t="s">
        <v>211</v>
      </c>
      <c r="BD8" t="s">
        <v>211</v>
      </c>
      <c r="BE8" s="368" t="s">
        <v>447</v>
      </c>
      <c r="BF8" s="368" t="s">
        <v>448</v>
      </c>
      <c r="BG8" s="368" t="s">
        <v>337</v>
      </c>
      <c r="BH8" s="368">
        <v>3417.2633460000002</v>
      </c>
      <c r="BI8" s="368">
        <v>1202.968343</v>
      </c>
      <c r="BJ8" s="368">
        <v>2212.1131949999999</v>
      </c>
      <c r="BK8" s="368">
        <v>1645812.2174209999</v>
      </c>
      <c r="BL8" s="368">
        <v>231692.081806</v>
      </c>
      <c r="BM8" s="368">
        <v>0.99622900000000003</v>
      </c>
      <c r="BO8" t="s">
        <v>211</v>
      </c>
      <c r="BZ8" t="s">
        <v>211</v>
      </c>
      <c r="CK8" t="s">
        <v>211</v>
      </c>
      <c r="CV8" t="s">
        <v>211</v>
      </c>
      <c r="DG8" t="s">
        <v>211</v>
      </c>
      <c r="DR8" t="s">
        <v>211</v>
      </c>
      <c r="EC8" t="s">
        <v>211</v>
      </c>
    </row>
    <row r="9" spans="1:142" x14ac:dyDescent="0.25">
      <c r="A9" t="s">
        <v>212</v>
      </c>
      <c r="L9" t="s">
        <v>212</v>
      </c>
      <c r="W9" t="s">
        <v>212</v>
      </c>
      <c r="AH9" t="s">
        <v>212</v>
      </c>
      <c r="AS9" t="s">
        <v>212</v>
      </c>
      <c r="BD9" t="s">
        <v>212</v>
      </c>
      <c r="BE9" s="368" t="s">
        <v>447</v>
      </c>
      <c r="BF9" s="368" t="s">
        <v>448</v>
      </c>
      <c r="BG9" s="368" t="s">
        <v>337</v>
      </c>
      <c r="BH9" s="368">
        <v>3780.5950109999999</v>
      </c>
      <c r="BI9" s="368">
        <v>1586.7625210000001</v>
      </c>
      <c r="BJ9" s="368">
        <v>2629.277908</v>
      </c>
      <c r="BK9" s="368">
        <v>1956182.7637370001</v>
      </c>
      <c r="BL9" s="368">
        <v>343011.83280799998</v>
      </c>
      <c r="BM9" s="368">
        <v>0.98557300000000003</v>
      </c>
      <c r="BO9" t="s">
        <v>212</v>
      </c>
      <c r="BZ9" t="s">
        <v>212</v>
      </c>
      <c r="CK9" t="s">
        <v>212</v>
      </c>
      <c r="CV9" t="s">
        <v>212</v>
      </c>
      <c r="DG9" t="s">
        <v>212</v>
      </c>
      <c r="DR9" t="s">
        <v>212</v>
      </c>
      <c r="EC9" t="s">
        <v>212</v>
      </c>
    </row>
    <row r="10" spans="1:142" x14ac:dyDescent="0.25">
      <c r="A10" t="s">
        <v>213</v>
      </c>
      <c r="L10" t="s">
        <v>213</v>
      </c>
      <c r="W10" t="s">
        <v>213</v>
      </c>
      <c r="AH10" t="s">
        <v>213</v>
      </c>
      <c r="AS10" t="s">
        <v>213</v>
      </c>
      <c r="BD10" t="s">
        <v>213</v>
      </c>
      <c r="BE10" s="368" t="s">
        <v>447</v>
      </c>
      <c r="BF10" s="368" t="s">
        <v>448</v>
      </c>
      <c r="BG10" s="368" t="s">
        <v>337</v>
      </c>
      <c r="BH10" s="368">
        <v>3623.5983070000002</v>
      </c>
      <c r="BI10" s="368">
        <v>1435.0099889999999</v>
      </c>
      <c r="BJ10" s="368">
        <v>2293.5090500000001</v>
      </c>
      <c r="BK10" s="368">
        <v>1706370.733463</v>
      </c>
      <c r="BL10" s="368">
        <v>337371.33357999998</v>
      </c>
      <c r="BM10" s="368">
        <v>0.98596200000000001</v>
      </c>
      <c r="BO10" t="s">
        <v>213</v>
      </c>
      <c r="BZ10" t="s">
        <v>213</v>
      </c>
      <c r="CK10" t="s">
        <v>213</v>
      </c>
      <c r="CV10" t="s">
        <v>213</v>
      </c>
      <c r="DG10" t="s">
        <v>213</v>
      </c>
      <c r="DR10" t="s">
        <v>213</v>
      </c>
      <c r="EC10" t="s">
        <v>213</v>
      </c>
    </row>
    <row r="11" spans="1:142" x14ac:dyDescent="0.25">
      <c r="A11" t="s">
        <v>214</v>
      </c>
      <c r="L11" t="s">
        <v>214</v>
      </c>
      <c r="W11" t="s">
        <v>214</v>
      </c>
      <c r="AH11" t="s">
        <v>214</v>
      </c>
      <c r="AS11" t="s">
        <v>214</v>
      </c>
      <c r="BD11" t="s">
        <v>214</v>
      </c>
      <c r="BE11" s="368" t="s">
        <v>447</v>
      </c>
      <c r="BF11" s="368" t="s">
        <v>448</v>
      </c>
      <c r="BG11" s="368" t="s">
        <v>337</v>
      </c>
      <c r="BH11" s="368">
        <v>2015.1033319999999</v>
      </c>
      <c r="BI11" s="368">
        <v>923.92483500000003</v>
      </c>
      <c r="BJ11" s="368">
        <v>1399.2405100000001</v>
      </c>
      <c r="BK11" s="368">
        <v>1041034.940166</v>
      </c>
      <c r="BL11" s="368">
        <v>144360.85339400001</v>
      </c>
      <c r="BM11" s="368">
        <v>0.99123600000000001</v>
      </c>
      <c r="BO11" t="s">
        <v>214</v>
      </c>
      <c r="BZ11" t="s">
        <v>214</v>
      </c>
      <c r="CK11" t="s">
        <v>214</v>
      </c>
      <c r="CV11" t="s">
        <v>214</v>
      </c>
      <c r="DG11" t="s">
        <v>214</v>
      </c>
      <c r="DR11" t="s">
        <v>214</v>
      </c>
      <c r="EC11" t="s">
        <v>214</v>
      </c>
    </row>
    <row r="12" spans="1:142" x14ac:dyDescent="0.25">
      <c r="A12" s="367" t="s">
        <v>218</v>
      </c>
      <c r="L12" s="367" t="s">
        <v>218</v>
      </c>
      <c r="W12" s="367" t="s">
        <v>218</v>
      </c>
      <c r="AH12" s="367" t="s">
        <v>218</v>
      </c>
      <c r="AS12" s="367" t="s">
        <v>218</v>
      </c>
      <c r="BD12" s="367" t="s">
        <v>218</v>
      </c>
      <c r="BE12" s="368" t="s">
        <v>447</v>
      </c>
      <c r="BF12" s="368" t="s">
        <v>448</v>
      </c>
      <c r="BG12" s="368" t="s">
        <v>337</v>
      </c>
      <c r="BH12" s="368">
        <v>4875.1166990000002</v>
      </c>
      <c r="BI12" s="368">
        <v>1536.557249</v>
      </c>
      <c r="BJ12" s="368">
        <v>3257.601009</v>
      </c>
      <c r="BK12" s="368">
        <v>2423655.151302</v>
      </c>
      <c r="BL12" s="368">
        <v>660376.36615200003</v>
      </c>
      <c r="BM12" s="368">
        <v>0.97432099999999999</v>
      </c>
      <c r="BO12" s="367" t="s">
        <v>218</v>
      </c>
      <c r="BZ12" s="367" t="s">
        <v>218</v>
      </c>
      <c r="CK12" s="367" t="s">
        <v>218</v>
      </c>
      <c r="CV12" s="367" t="s">
        <v>218</v>
      </c>
      <c r="DG12" s="367" t="s">
        <v>218</v>
      </c>
      <c r="DR12" s="367" t="s">
        <v>218</v>
      </c>
      <c r="EC12" s="367" t="s">
        <v>218</v>
      </c>
    </row>
    <row r="13" spans="1:142" x14ac:dyDescent="0.25">
      <c r="A13" s="367" t="s">
        <v>219</v>
      </c>
      <c r="L13" s="367" t="s">
        <v>219</v>
      </c>
      <c r="W13" s="367" t="s">
        <v>219</v>
      </c>
      <c r="AH13" s="367" t="s">
        <v>219</v>
      </c>
      <c r="AS13" s="367" t="s">
        <v>219</v>
      </c>
      <c r="BD13" s="367" t="s">
        <v>219</v>
      </c>
      <c r="BE13" s="368" t="s">
        <v>447</v>
      </c>
      <c r="BF13" s="368" t="s">
        <v>448</v>
      </c>
      <c r="BG13" s="368" t="s">
        <v>337</v>
      </c>
      <c r="BH13" s="368">
        <v>5009.7784009999996</v>
      </c>
      <c r="BI13" s="368">
        <v>1996.2516680000001</v>
      </c>
      <c r="BJ13" s="368">
        <v>3227.9381939999998</v>
      </c>
      <c r="BK13" s="368">
        <v>2401586.0164890001</v>
      </c>
      <c r="BL13" s="368">
        <v>441945.735521</v>
      </c>
      <c r="BM13" s="368">
        <v>0.98487499999999994</v>
      </c>
      <c r="BO13" s="367" t="s">
        <v>219</v>
      </c>
      <c r="BZ13" s="367" t="s">
        <v>219</v>
      </c>
      <c r="CK13" s="367" t="s">
        <v>219</v>
      </c>
      <c r="CV13" s="367" t="s">
        <v>219</v>
      </c>
      <c r="DG13" s="367" t="s">
        <v>219</v>
      </c>
      <c r="DR13" s="367" t="s">
        <v>219</v>
      </c>
      <c r="EC13" s="367" t="s">
        <v>219</v>
      </c>
    </row>
    <row r="14" spans="1:142" x14ac:dyDescent="0.25">
      <c r="A14" s="367" t="s">
        <v>220</v>
      </c>
      <c r="L14" s="367" t="s">
        <v>220</v>
      </c>
      <c r="W14" s="367" t="s">
        <v>220</v>
      </c>
      <c r="AH14" s="367" t="s">
        <v>220</v>
      </c>
      <c r="AS14" s="367" t="s">
        <v>220</v>
      </c>
      <c r="BD14" s="367" t="s">
        <v>220</v>
      </c>
      <c r="BE14" s="368" t="s">
        <v>447</v>
      </c>
      <c r="BF14" s="368" t="s">
        <v>448</v>
      </c>
      <c r="BG14" s="368" t="s">
        <v>337</v>
      </c>
      <c r="BH14" s="368">
        <v>2118.829956</v>
      </c>
      <c r="BI14" s="368">
        <v>1095.6524320000001</v>
      </c>
      <c r="BJ14" s="368">
        <v>1619.4207349999999</v>
      </c>
      <c r="BK14" s="368">
        <v>1204849.026965</v>
      </c>
      <c r="BL14" s="368">
        <v>-49893.903617999997</v>
      </c>
      <c r="BM14" s="368">
        <v>0.99910299999999996</v>
      </c>
      <c r="BO14" s="367" t="s">
        <v>220</v>
      </c>
      <c r="BZ14" s="367" t="s">
        <v>220</v>
      </c>
      <c r="CK14" s="367" t="s">
        <v>220</v>
      </c>
      <c r="CV14" s="367" t="s">
        <v>220</v>
      </c>
      <c r="DG14" s="367" t="s">
        <v>220</v>
      </c>
      <c r="DR14" s="367" t="s">
        <v>220</v>
      </c>
      <c r="EC14" s="367" t="s">
        <v>220</v>
      </c>
    </row>
    <row r="15" spans="1:142" x14ac:dyDescent="0.25">
      <c r="A15" s="367" t="s">
        <v>215</v>
      </c>
      <c r="L15" s="367" t="s">
        <v>215</v>
      </c>
      <c r="W15" s="367" t="s">
        <v>215</v>
      </c>
      <c r="AH15" s="367" t="s">
        <v>215</v>
      </c>
      <c r="AS15" s="367" t="s">
        <v>215</v>
      </c>
      <c r="BD15" s="367" t="s">
        <v>215</v>
      </c>
      <c r="BE15" s="368" t="s">
        <v>447</v>
      </c>
      <c r="BF15" s="368" t="s">
        <v>448</v>
      </c>
      <c r="BG15" s="368" t="s">
        <v>337</v>
      </c>
      <c r="BH15" s="368">
        <v>7022.330078</v>
      </c>
      <c r="BI15" s="368">
        <v>3670.275024</v>
      </c>
      <c r="BJ15" s="368">
        <v>5068.8127949999998</v>
      </c>
      <c r="BK15" s="368">
        <v>3771196.7195339999</v>
      </c>
      <c r="BL15" s="368">
        <v>161973.11848599999</v>
      </c>
      <c r="BM15" s="368">
        <v>0.98718300000000003</v>
      </c>
      <c r="BO15" s="367" t="s">
        <v>215</v>
      </c>
      <c r="BZ15" s="367" t="s">
        <v>215</v>
      </c>
      <c r="CK15" s="367" t="s">
        <v>215</v>
      </c>
      <c r="CV15" s="367" t="s">
        <v>215</v>
      </c>
      <c r="DG15" s="367" t="s">
        <v>215</v>
      </c>
      <c r="DR15" s="367" t="s">
        <v>215</v>
      </c>
      <c r="EC15" s="367" t="s">
        <v>215</v>
      </c>
    </row>
    <row r="16" spans="1:142" x14ac:dyDescent="0.25">
      <c r="A16" s="367" t="s">
        <v>217</v>
      </c>
      <c r="L16" s="367" t="s">
        <v>217</v>
      </c>
      <c r="W16" s="367" t="s">
        <v>217</v>
      </c>
      <c r="AH16" s="367" t="s">
        <v>217</v>
      </c>
      <c r="AS16" s="367" t="s">
        <v>217</v>
      </c>
      <c r="BD16" s="367" t="s">
        <v>217</v>
      </c>
      <c r="BE16" s="368" t="s">
        <v>447</v>
      </c>
      <c r="BF16" s="368" t="s">
        <v>448</v>
      </c>
      <c r="BG16" s="368" t="s">
        <v>337</v>
      </c>
      <c r="BH16" s="368">
        <v>2702.3500159999999</v>
      </c>
      <c r="BI16" s="368">
        <v>804.23</v>
      </c>
      <c r="BJ16" s="368">
        <v>1728.9563579999999</v>
      </c>
      <c r="BK16" s="368">
        <v>1286343.5310470001</v>
      </c>
      <c r="BL16" s="368">
        <v>6857.9163349999999</v>
      </c>
      <c r="BM16" s="368">
        <v>0.99943400000000004</v>
      </c>
      <c r="BO16" s="367" t="s">
        <v>217</v>
      </c>
      <c r="BZ16" s="367" t="s">
        <v>217</v>
      </c>
      <c r="CK16" s="367" t="s">
        <v>217</v>
      </c>
      <c r="CV16" s="367" t="s">
        <v>217</v>
      </c>
      <c r="DG16" s="367" t="s">
        <v>217</v>
      </c>
      <c r="DR16" s="367" t="s">
        <v>217</v>
      </c>
      <c r="EC16" s="367" t="s">
        <v>217</v>
      </c>
    </row>
    <row r="17" spans="1:133" x14ac:dyDescent="0.25">
      <c r="A17" t="s">
        <v>221</v>
      </c>
      <c r="L17" t="s">
        <v>221</v>
      </c>
      <c r="W17" t="s">
        <v>221</v>
      </c>
      <c r="AH17" t="s">
        <v>221</v>
      </c>
      <c r="AS17" t="s">
        <v>221</v>
      </c>
      <c r="BD17" t="s">
        <v>221</v>
      </c>
      <c r="BE17" s="368" t="s">
        <v>447</v>
      </c>
      <c r="BF17" s="368" t="s">
        <v>448</v>
      </c>
      <c r="BG17" s="368" t="s">
        <v>337</v>
      </c>
      <c r="BH17" s="368">
        <v>6038.7749830000002</v>
      </c>
      <c r="BI17" s="368">
        <v>563.599334</v>
      </c>
      <c r="BJ17" s="368">
        <v>2804.7237530000002</v>
      </c>
      <c r="BK17" s="368">
        <v>2086714.472908</v>
      </c>
      <c r="BL17" s="368">
        <v>-275067.93916200002</v>
      </c>
      <c r="BM17" s="368">
        <v>0.99849200000000005</v>
      </c>
      <c r="BO17" t="s">
        <v>221</v>
      </c>
      <c r="BZ17" t="s">
        <v>221</v>
      </c>
      <c r="CK17" t="s">
        <v>221</v>
      </c>
      <c r="CV17" t="s">
        <v>221</v>
      </c>
      <c r="DG17" t="s">
        <v>221</v>
      </c>
      <c r="DR17" t="s">
        <v>221</v>
      </c>
      <c r="EC17" t="s">
        <v>221</v>
      </c>
    </row>
    <row r="18" spans="1:133" x14ac:dyDescent="0.25">
      <c r="A18" t="s">
        <v>222</v>
      </c>
      <c r="L18" t="s">
        <v>222</v>
      </c>
      <c r="W18" t="s">
        <v>222</v>
      </c>
      <c r="AH18" t="s">
        <v>222</v>
      </c>
      <c r="AS18" t="s">
        <v>222</v>
      </c>
      <c r="BD18" t="s">
        <v>222</v>
      </c>
      <c r="BE18" s="369" t="s">
        <v>447</v>
      </c>
      <c r="BF18" s="369" t="s">
        <v>448</v>
      </c>
      <c r="BG18" s="369" t="s">
        <v>337</v>
      </c>
      <c r="BH18" s="369">
        <v>-1</v>
      </c>
      <c r="BI18" s="369">
        <v>-1</v>
      </c>
      <c r="BJ18" s="369">
        <v>-1</v>
      </c>
      <c r="BK18" s="369">
        <v>-1</v>
      </c>
      <c r="BL18" s="369">
        <v>-1</v>
      </c>
      <c r="BM18" s="369">
        <v>-1</v>
      </c>
      <c r="BO18" t="s">
        <v>222</v>
      </c>
      <c r="BZ18" t="s">
        <v>222</v>
      </c>
      <c r="CK18" t="s">
        <v>222</v>
      </c>
      <c r="CV18" t="s">
        <v>222</v>
      </c>
      <c r="DG18" t="s">
        <v>222</v>
      </c>
      <c r="DR18" t="s">
        <v>222</v>
      </c>
      <c r="EC18" t="s">
        <v>222</v>
      </c>
    </row>
    <row r="19" spans="1:133" x14ac:dyDescent="0.25">
      <c r="A19" t="s">
        <v>223</v>
      </c>
      <c r="L19" t="s">
        <v>223</v>
      </c>
      <c r="W19" t="s">
        <v>223</v>
      </c>
      <c r="AH19" t="s">
        <v>223</v>
      </c>
      <c r="AS19" t="s">
        <v>223</v>
      </c>
      <c r="BD19" t="s">
        <v>223</v>
      </c>
      <c r="BE19" s="369" t="s">
        <v>447</v>
      </c>
      <c r="BF19" s="369" t="s">
        <v>448</v>
      </c>
      <c r="BG19" s="369" t="s">
        <v>337</v>
      </c>
      <c r="BH19" s="369">
        <v>-1</v>
      </c>
      <c r="BI19" s="369">
        <v>-1</v>
      </c>
      <c r="BJ19" s="369">
        <v>-1</v>
      </c>
      <c r="BK19" s="369">
        <v>-1</v>
      </c>
      <c r="BL19" s="369">
        <v>-1</v>
      </c>
      <c r="BM19" s="369">
        <v>-1</v>
      </c>
      <c r="BO19" t="s">
        <v>223</v>
      </c>
      <c r="BZ19" t="s">
        <v>223</v>
      </c>
      <c r="CK19" t="s">
        <v>223</v>
      </c>
      <c r="CV19" t="s">
        <v>223</v>
      </c>
      <c r="DG19" t="s">
        <v>223</v>
      </c>
      <c r="DR19" t="s">
        <v>223</v>
      </c>
      <c r="EC19" t="s">
        <v>223</v>
      </c>
    </row>
    <row r="20" spans="1:133" x14ac:dyDescent="0.25">
      <c r="A20" t="s">
        <v>224</v>
      </c>
      <c r="L20" t="s">
        <v>224</v>
      </c>
      <c r="W20" t="s">
        <v>224</v>
      </c>
      <c r="AH20" t="s">
        <v>224</v>
      </c>
      <c r="AS20" t="s">
        <v>224</v>
      </c>
      <c r="BD20" t="s">
        <v>224</v>
      </c>
      <c r="BE20" s="368" t="s">
        <v>447</v>
      </c>
      <c r="BF20" s="368" t="s">
        <v>448</v>
      </c>
      <c r="BG20" s="368" t="s">
        <v>337</v>
      </c>
      <c r="BH20" s="368">
        <v>3846.7629229999998</v>
      </c>
      <c r="BI20" s="368">
        <v>1405.588317</v>
      </c>
      <c r="BJ20" s="368">
        <v>2425.3693979999998</v>
      </c>
      <c r="BK20" s="368">
        <v>1804474.8326709999</v>
      </c>
      <c r="BL20" s="368">
        <v>-378377.02616000001</v>
      </c>
      <c r="BM20" s="368">
        <v>0.98579600000000001</v>
      </c>
      <c r="BO20" t="s">
        <v>224</v>
      </c>
      <c r="BZ20" t="s">
        <v>224</v>
      </c>
      <c r="CK20" t="s">
        <v>224</v>
      </c>
      <c r="CV20" t="s">
        <v>224</v>
      </c>
      <c r="DG20" t="s">
        <v>224</v>
      </c>
      <c r="DR20" t="s">
        <v>224</v>
      </c>
      <c r="EC20" t="s">
        <v>224</v>
      </c>
    </row>
    <row r="21" spans="1:133" x14ac:dyDescent="0.25">
      <c r="A21" t="s">
        <v>225</v>
      </c>
      <c r="L21" t="s">
        <v>225</v>
      </c>
      <c r="W21" t="s">
        <v>225</v>
      </c>
      <c r="AH21" t="s">
        <v>225</v>
      </c>
      <c r="AS21" t="s">
        <v>225</v>
      </c>
      <c r="BD21" t="s">
        <v>225</v>
      </c>
      <c r="BE21" s="368" t="s">
        <v>447</v>
      </c>
      <c r="BF21" s="368" t="s">
        <v>448</v>
      </c>
      <c r="BG21" s="368" t="s">
        <v>337</v>
      </c>
      <c r="BH21" s="368">
        <v>2666.4616289999999</v>
      </c>
      <c r="BI21" s="368">
        <v>337.07700599999998</v>
      </c>
      <c r="BJ21" s="368">
        <v>1635.3691610000001</v>
      </c>
      <c r="BK21" s="368">
        <v>1216714.6564499999</v>
      </c>
      <c r="BL21" s="368">
        <v>161073.59083299999</v>
      </c>
      <c r="BM21" s="368">
        <v>0.95249099999999998</v>
      </c>
      <c r="BO21" t="s">
        <v>225</v>
      </c>
      <c r="BZ21" t="s">
        <v>225</v>
      </c>
      <c r="CK21" t="s">
        <v>225</v>
      </c>
      <c r="CV21" t="s">
        <v>225</v>
      </c>
      <c r="DG21" t="s">
        <v>225</v>
      </c>
      <c r="DR21" t="s">
        <v>225</v>
      </c>
      <c r="EC21" t="s">
        <v>225</v>
      </c>
    </row>
    <row r="22" spans="1:133" x14ac:dyDescent="0.25">
      <c r="A22" s="367" t="s">
        <v>229</v>
      </c>
      <c r="L22" s="367" t="s">
        <v>229</v>
      </c>
      <c r="W22" s="367" t="s">
        <v>229</v>
      </c>
      <c r="AH22" s="367" t="s">
        <v>229</v>
      </c>
      <c r="AS22" s="367" t="s">
        <v>229</v>
      </c>
      <c r="BD22" s="367" t="s">
        <v>229</v>
      </c>
      <c r="BE22" s="368" t="s">
        <v>447</v>
      </c>
      <c r="BF22" s="368" t="s">
        <v>448</v>
      </c>
      <c r="BG22" s="368" t="s">
        <v>337</v>
      </c>
      <c r="BH22" s="368">
        <v>4025.0016679999999</v>
      </c>
      <c r="BI22" s="368">
        <v>1841.99001</v>
      </c>
      <c r="BJ22" s="368">
        <v>2854.4539629999999</v>
      </c>
      <c r="BK22" s="368">
        <v>2123713.7484820001</v>
      </c>
      <c r="BL22" s="368">
        <v>322131.925751</v>
      </c>
      <c r="BM22" s="368">
        <v>0.98959799999999998</v>
      </c>
      <c r="BO22" s="367" t="s">
        <v>229</v>
      </c>
      <c r="BZ22" s="367" t="s">
        <v>229</v>
      </c>
      <c r="CK22" s="367" t="s">
        <v>229</v>
      </c>
      <c r="CV22" s="367" t="s">
        <v>229</v>
      </c>
      <c r="DG22" s="367" t="s">
        <v>229</v>
      </c>
      <c r="DR22" s="367" t="s">
        <v>229</v>
      </c>
      <c r="EC22" s="367" t="s">
        <v>229</v>
      </c>
    </row>
    <row r="23" spans="1:133" x14ac:dyDescent="0.25">
      <c r="A23" s="367" t="s">
        <v>230</v>
      </c>
      <c r="L23" s="367" t="s">
        <v>230</v>
      </c>
      <c r="W23" s="367" t="s">
        <v>230</v>
      </c>
      <c r="AH23" s="367" t="s">
        <v>230</v>
      </c>
      <c r="AS23" s="367" t="s">
        <v>230</v>
      </c>
      <c r="BD23" s="367" t="s">
        <v>230</v>
      </c>
      <c r="BE23" s="368" t="s">
        <v>447</v>
      </c>
      <c r="BF23" s="368" t="s">
        <v>448</v>
      </c>
      <c r="BG23" s="368" t="s">
        <v>337</v>
      </c>
      <c r="BH23" s="368">
        <v>3437.8966869999999</v>
      </c>
      <c r="BI23" s="368">
        <v>1492.7100009999999</v>
      </c>
      <c r="BJ23" s="368">
        <v>2411.1885069999998</v>
      </c>
      <c r="BK23" s="368">
        <v>1793924.249631</v>
      </c>
      <c r="BL23" s="368">
        <v>53080.784765999997</v>
      </c>
      <c r="BM23" s="368">
        <v>0.99975700000000001</v>
      </c>
      <c r="BO23" s="367" t="s">
        <v>230</v>
      </c>
      <c r="BZ23" s="367" t="s">
        <v>230</v>
      </c>
      <c r="CK23" s="367" t="s">
        <v>230</v>
      </c>
      <c r="CV23" s="367" t="s">
        <v>230</v>
      </c>
      <c r="DG23" s="367" t="s">
        <v>230</v>
      </c>
      <c r="DR23" s="367" t="s">
        <v>230</v>
      </c>
      <c r="EC23" s="367" t="s">
        <v>230</v>
      </c>
    </row>
    <row r="24" spans="1:133" x14ac:dyDescent="0.25">
      <c r="A24" s="367" t="s">
        <v>231</v>
      </c>
      <c r="L24" s="367" t="s">
        <v>231</v>
      </c>
      <c r="W24" s="367" t="s">
        <v>231</v>
      </c>
      <c r="AH24" s="367" t="s">
        <v>231</v>
      </c>
      <c r="AS24" s="367" t="s">
        <v>231</v>
      </c>
      <c r="BD24" s="367" t="s">
        <v>231</v>
      </c>
      <c r="BE24" s="368" t="s">
        <v>447</v>
      </c>
      <c r="BF24" s="368" t="s">
        <v>448</v>
      </c>
      <c r="BG24" s="368" t="s">
        <v>337</v>
      </c>
      <c r="BH24" s="368">
        <v>4791.2383620000001</v>
      </c>
      <c r="BI24" s="368">
        <v>1822.164282</v>
      </c>
      <c r="BJ24" s="368">
        <v>3070.626792</v>
      </c>
      <c r="BK24" s="368">
        <v>2284546.333573</v>
      </c>
      <c r="BL24" s="368">
        <v>385939.67966299999</v>
      </c>
      <c r="BM24" s="368">
        <v>0.99043999999999999</v>
      </c>
      <c r="BO24" s="367" t="s">
        <v>231</v>
      </c>
      <c r="BZ24" s="367" t="s">
        <v>231</v>
      </c>
      <c r="CK24" s="367" t="s">
        <v>231</v>
      </c>
      <c r="CV24" s="367" t="s">
        <v>231</v>
      </c>
      <c r="DG24" s="367" t="s">
        <v>231</v>
      </c>
      <c r="DR24" s="367" t="s">
        <v>231</v>
      </c>
      <c r="EC24" s="367" t="s">
        <v>231</v>
      </c>
    </row>
    <row r="25" spans="1:133" x14ac:dyDescent="0.25">
      <c r="A25" s="367" t="s">
        <v>226</v>
      </c>
      <c r="L25" s="367" t="s">
        <v>226</v>
      </c>
      <c r="W25" s="367" t="s">
        <v>226</v>
      </c>
      <c r="AH25" s="367" t="s">
        <v>226</v>
      </c>
      <c r="AS25" s="367" t="s">
        <v>226</v>
      </c>
      <c r="BD25" s="367" t="s">
        <v>226</v>
      </c>
      <c r="BE25" s="368" t="s">
        <v>447</v>
      </c>
      <c r="BF25" s="368" t="s">
        <v>448</v>
      </c>
      <c r="BG25" s="368" t="s">
        <v>337</v>
      </c>
      <c r="BH25" s="368">
        <v>7439.4366040000004</v>
      </c>
      <c r="BI25" s="368">
        <v>1475.74001</v>
      </c>
      <c r="BJ25" s="368">
        <v>4583.4561899999999</v>
      </c>
      <c r="BK25" s="368">
        <v>3410091.4058070001</v>
      </c>
      <c r="BL25" s="368">
        <v>239414.19590600001</v>
      </c>
      <c r="BM25" s="368">
        <v>0.97736999999999996</v>
      </c>
      <c r="BO25" s="367" t="s">
        <v>226</v>
      </c>
      <c r="BZ25" s="367" t="s">
        <v>226</v>
      </c>
      <c r="CK25" s="367" t="s">
        <v>226</v>
      </c>
      <c r="CV25" s="367" t="s">
        <v>226</v>
      </c>
      <c r="DG25" s="367" t="s">
        <v>226</v>
      </c>
      <c r="DR25" s="367" t="s">
        <v>226</v>
      </c>
      <c r="EC25" s="367" t="s">
        <v>226</v>
      </c>
    </row>
    <row r="26" spans="1:133" x14ac:dyDescent="0.25">
      <c r="A26" s="367" t="s">
        <v>227</v>
      </c>
      <c r="L26" s="367" t="s">
        <v>227</v>
      </c>
      <c r="W26" s="367" t="s">
        <v>227</v>
      </c>
      <c r="AH26" s="367" t="s">
        <v>227</v>
      </c>
      <c r="AS26" s="367" t="s">
        <v>227</v>
      </c>
      <c r="BD26" s="367" t="s">
        <v>227</v>
      </c>
      <c r="BE26" s="368" t="s">
        <v>447</v>
      </c>
      <c r="BF26" s="368" t="s">
        <v>448</v>
      </c>
      <c r="BG26" s="368" t="s">
        <v>337</v>
      </c>
      <c r="BH26" s="368">
        <v>1310.712436</v>
      </c>
      <c r="BI26" s="368">
        <v>380.067049</v>
      </c>
      <c r="BJ26" s="368">
        <v>728.62086099999999</v>
      </c>
      <c r="BK26" s="368">
        <v>542093.920606</v>
      </c>
      <c r="BL26" s="368">
        <v>-239770.262235</v>
      </c>
      <c r="BM26" s="368">
        <v>0.99717599999999995</v>
      </c>
      <c r="BO26" s="367" t="s">
        <v>227</v>
      </c>
      <c r="BZ26" s="367" t="s">
        <v>227</v>
      </c>
      <c r="CK26" s="367" t="s">
        <v>227</v>
      </c>
      <c r="CV26" s="367" t="s">
        <v>227</v>
      </c>
      <c r="DG26" s="367" t="s">
        <v>227</v>
      </c>
      <c r="DR26" s="367" t="s">
        <v>227</v>
      </c>
      <c r="EC26" s="367" t="s">
        <v>227</v>
      </c>
    </row>
    <row r="27" spans="1:133" x14ac:dyDescent="0.25">
      <c r="A27" t="s">
        <v>232</v>
      </c>
      <c r="L27" t="s">
        <v>232</v>
      </c>
      <c r="W27" t="s">
        <v>232</v>
      </c>
      <c r="AH27" t="s">
        <v>232</v>
      </c>
      <c r="AS27" t="s">
        <v>232</v>
      </c>
      <c r="BD27" t="s">
        <v>232</v>
      </c>
      <c r="BE27" s="368" t="s">
        <v>447</v>
      </c>
      <c r="BF27" s="368" t="s">
        <v>448</v>
      </c>
      <c r="BG27" s="368" t="s">
        <v>337</v>
      </c>
      <c r="BH27" s="368">
        <v>429.69047599999999</v>
      </c>
      <c r="BI27" s="368">
        <v>153.33333300000001</v>
      </c>
      <c r="BJ27" s="368">
        <v>271.38572399999998</v>
      </c>
      <c r="BK27" s="368">
        <v>201910.97939200001</v>
      </c>
      <c r="BL27" s="368">
        <v>43664.771030000004</v>
      </c>
      <c r="BM27" s="368">
        <v>0.978518</v>
      </c>
      <c r="BO27" t="s">
        <v>232</v>
      </c>
      <c r="BZ27" t="s">
        <v>232</v>
      </c>
      <c r="CK27" t="s">
        <v>232</v>
      </c>
      <c r="CV27" t="s">
        <v>232</v>
      </c>
      <c r="DG27" t="s">
        <v>232</v>
      </c>
      <c r="DR27" t="s">
        <v>232</v>
      </c>
      <c r="EC27" t="s">
        <v>232</v>
      </c>
    </row>
    <row r="28" spans="1:133" x14ac:dyDescent="0.25">
      <c r="A28" t="s">
        <v>233</v>
      </c>
      <c r="L28" t="s">
        <v>233</v>
      </c>
      <c r="W28" t="s">
        <v>233</v>
      </c>
      <c r="AH28" t="s">
        <v>233</v>
      </c>
      <c r="AS28" t="s">
        <v>233</v>
      </c>
      <c r="BD28" t="s">
        <v>233</v>
      </c>
      <c r="BE28" s="368" t="s">
        <v>447</v>
      </c>
      <c r="BF28" s="368" t="s">
        <v>448</v>
      </c>
      <c r="BG28" s="368" t="s">
        <v>337</v>
      </c>
      <c r="BH28" s="368">
        <v>1346.6666660000001</v>
      </c>
      <c r="BI28" s="368">
        <v>140</v>
      </c>
      <c r="BJ28" s="368">
        <v>778.11420599999997</v>
      </c>
      <c r="BK28" s="368">
        <v>578916.96938400005</v>
      </c>
      <c r="BL28" s="368">
        <v>140042.61524799999</v>
      </c>
      <c r="BM28" s="368">
        <v>0.93286800000000003</v>
      </c>
      <c r="BO28" t="s">
        <v>233</v>
      </c>
      <c r="BZ28" t="s">
        <v>233</v>
      </c>
      <c r="CK28" t="s">
        <v>233</v>
      </c>
      <c r="CV28" t="s">
        <v>233</v>
      </c>
      <c r="DG28" t="s">
        <v>233</v>
      </c>
      <c r="DR28" t="s">
        <v>233</v>
      </c>
      <c r="EC28" t="s">
        <v>233</v>
      </c>
    </row>
    <row r="29" spans="1:133" x14ac:dyDescent="0.25">
      <c r="A29" t="s">
        <v>234</v>
      </c>
      <c r="L29" t="s">
        <v>234</v>
      </c>
      <c r="W29" t="s">
        <v>234</v>
      </c>
      <c r="AH29" t="s">
        <v>234</v>
      </c>
      <c r="AS29" t="s">
        <v>234</v>
      </c>
      <c r="BD29" t="s">
        <v>234</v>
      </c>
      <c r="BE29" s="368" t="s">
        <v>447</v>
      </c>
      <c r="BF29" s="368" t="s">
        <v>448</v>
      </c>
      <c r="BG29" s="368" t="s">
        <v>337</v>
      </c>
      <c r="BH29" s="368">
        <v>2490</v>
      </c>
      <c r="BI29" s="368">
        <v>1196.7936500000001</v>
      </c>
      <c r="BJ29" s="368">
        <v>1791.0913929999999</v>
      </c>
      <c r="BK29" s="368">
        <v>1332571.9968580001</v>
      </c>
      <c r="BL29" s="368">
        <v>209806.73908900001</v>
      </c>
      <c r="BM29" s="368">
        <v>0.99388299999999996</v>
      </c>
      <c r="BO29" t="s">
        <v>234</v>
      </c>
      <c r="BZ29" t="s">
        <v>234</v>
      </c>
      <c r="CK29" t="s">
        <v>234</v>
      </c>
      <c r="CV29" t="s">
        <v>234</v>
      </c>
      <c r="DG29" t="s">
        <v>234</v>
      </c>
      <c r="DR29" t="s">
        <v>234</v>
      </c>
      <c r="EC29" t="s">
        <v>234</v>
      </c>
    </row>
    <row r="30" spans="1:133" x14ac:dyDescent="0.25">
      <c r="A30" t="s">
        <v>235</v>
      </c>
      <c r="L30" t="s">
        <v>235</v>
      </c>
      <c r="W30" t="s">
        <v>235</v>
      </c>
      <c r="AH30" t="s">
        <v>235</v>
      </c>
      <c r="AS30" t="s">
        <v>235</v>
      </c>
      <c r="BD30" t="s">
        <v>235</v>
      </c>
      <c r="BE30" s="370" t="s">
        <v>447</v>
      </c>
      <c r="BF30" s="370" t="s">
        <v>448</v>
      </c>
      <c r="BG30" s="370" t="s">
        <v>337</v>
      </c>
      <c r="BH30" s="370">
        <v>1960</v>
      </c>
      <c r="BI30" s="370">
        <v>-1</v>
      </c>
      <c r="BJ30" s="370">
        <v>-1</v>
      </c>
      <c r="BK30" s="370">
        <v>1837383</v>
      </c>
      <c r="BL30" s="370">
        <v>-1</v>
      </c>
      <c r="BM30" s="370">
        <v>1</v>
      </c>
      <c r="BO30" t="s">
        <v>235</v>
      </c>
      <c r="BZ30" t="s">
        <v>235</v>
      </c>
      <c r="CK30" t="s">
        <v>235</v>
      </c>
      <c r="CV30" t="s">
        <v>235</v>
      </c>
      <c r="DG30" t="s">
        <v>235</v>
      </c>
      <c r="DR30" t="s">
        <v>235</v>
      </c>
      <c r="EC30" t="s">
        <v>235</v>
      </c>
    </row>
    <row r="31" spans="1:133" x14ac:dyDescent="0.25">
      <c r="A31" s="367" t="s">
        <v>236</v>
      </c>
      <c r="L31" s="367" t="s">
        <v>236</v>
      </c>
      <c r="W31" s="367" t="s">
        <v>236</v>
      </c>
      <c r="AH31" s="367" t="s">
        <v>236</v>
      </c>
      <c r="AS31" s="367" t="s">
        <v>236</v>
      </c>
      <c r="BD31" s="367" t="s">
        <v>236</v>
      </c>
      <c r="BE31" s="368" t="s">
        <v>447</v>
      </c>
      <c r="BF31" s="368" t="s">
        <v>448</v>
      </c>
      <c r="BG31" s="368" t="s">
        <v>337</v>
      </c>
      <c r="BH31" s="368">
        <v>6044.0232740000001</v>
      </c>
      <c r="BI31" s="368">
        <v>2072.0999750000001</v>
      </c>
      <c r="BJ31" s="368">
        <v>3512.7885179999998</v>
      </c>
      <c r="BK31" s="368">
        <v>2613514.658053</v>
      </c>
      <c r="BL31" s="368">
        <v>438930.73002100002</v>
      </c>
      <c r="BM31" s="368">
        <v>0.990587</v>
      </c>
      <c r="BO31" s="367" t="s">
        <v>236</v>
      </c>
      <c r="BZ31" s="367" t="s">
        <v>236</v>
      </c>
      <c r="CK31" s="367" t="s">
        <v>236</v>
      </c>
      <c r="CV31" s="367" t="s">
        <v>236</v>
      </c>
      <c r="DG31" s="367" t="s">
        <v>236</v>
      </c>
      <c r="DR31" s="367" t="s">
        <v>236</v>
      </c>
      <c r="EC31" s="367" t="s">
        <v>236</v>
      </c>
    </row>
    <row r="32" spans="1:133" x14ac:dyDescent="0.25">
      <c r="A32" s="367" t="s">
        <v>238</v>
      </c>
      <c r="L32" s="367" t="s">
        <v>238</v>
      </c>
      <c r="W32" s="367" t="s">
        <v>238</v>
      </c>
      <c r="AH32" s="367" t="s">
        <v>238</v>
      </c>
      <c r="AS32" s="367" t="s">
        <v>238</v>
      </c>
      <c r="BD32" s="367" t="s">
        <v>238</v>
      </c>
      <c r="BE32" s="368" t="s">
        <v>447</v>
      </c>
      <c r="BF32" s="368" t="s">
        <v>448</v>
      </c>
      <c r="BG32" s="368" t="s">
        <v>337</v>
      </c>
      <c r="BH32" s="368">
        <v>7497.1483559999997</v>
      </c>
      <c r="BI32" s="368">
        <v>2209.2616370000001</v>
      </c>
      <c r="BJ32" s="368">
        <v>4108.8634060000004</v>
      </c>
      <c r="BK32" s="368">
        <v>3056994.3741100002</v>
      </c>
      <c r="BL32" s="368">
        <v>413812.69439999998</v>
      </c>
      <c r="BM32" s="368">
        <v>0.99203300000000005</v>
      </c>
      <c r="BO32" s="367" t="s">
        <v>238</v>
      </c>
      <c r="BZ32" s="367" t="s">
        <v>238</v>
      </c>
      <c r="CK32" s="367" t="s">
        <v>238</v>
      </c>
      <c r="CV32" s="367" t="s">
        <v>238</v>
      </c>
      <c r="DG32" s="367" t="s">
        <v>238</v>
      </c>
      <c r="DR32" s="367" t="s">
        <v>238</v>
      </c>
      <c r="EC32" s="367" t="s">
        <v>238</v>
      </c>
    </row>
    <row r="33" spans="1:133" x14ac:dyDescent="0.25">
      <c r="A33" s="367" t="s">
        <v>239</v>
      </c>
      <c r="L33" s="367" t="s">
        <v>239</v>
      </c>
      <c r="W33" s="367" t="s">
        <v>239</v>
      </c>
      <c r="AH33" s="367" t="s">
        <v>239</v>
      </c>
      <c r="AS33" s="367" t="s">
        <v>239</v>
      </c>
      <c r="BD33" s="367" t="s">
        <v>239</v>
      </c>
      <c r="BE33" s="368" t="s">
        <v>447</v>
      </c>
      <c r="BF33" s="368" t="s">
        <v>448</v>
      </c>
      <c r="BG33" s="368" t="s">
        <v>337</v>
      </c>
      <c r="BH33" s="368">
        <v>4172.9150390000004</v>
      </c>
      <c r="BI33" s="368">
        <v>1007.534495</v>
      </c>
      <c r="BJ33" s="368">
        <v>2279.3593940000001</v>
      </c>
      <c r="BK33" s="368">
        <v>1695843.3893850001</v>
      </c>
      <c r="BL33" s="368">
        <v>260509.235472</v>
      </c>
      <c r="BM33" s="368">
        <v>0.989622</v>
      </c>
      <c r="BO33" s="367" t="s">
        <v>239</v>
      </c>
      <c r="BZ33" s="367" t="s">
        <v>239</v>
      </c>
      <c r="CK33" s="367" t="s">
        <v>239</v>
      </c>
      <c r="CV33" s="367" t="s">
        <v>239</v>
      </c>
      <c r="DG33" s="367" t="s">
        <v>239</v>
      </c>
      <c r="DR33" s="367" t="s">
        <v>239</v>
      </c>
      <c r="EC33" s="367" t="s">
        <v>239</v>
      </c>
    </row>
    <row r="34" spans="1:133" x14ac:dyDescent="0.25">
      <c r="A34" s="367" t="s">
        <v>240</v>
      </c>
      <c r="L34" s="367" t="s">
        <v>240</v>
      </c>
      <c r="W34" s="367" t="s">
        <v>240</v>
      </c>
      <c r="AH34" s="367" t="s">
        <v>240</v>
      </c>
      <c r="AS34" s="367" t="s">
        <v>240</v>
      </c>
      <c r="BD34" s="367" t="s">
        <v>240</v>
      </c>
      <c r="BE34" s="368" t="s">
        <v>447</v>
      </c>
      <c r="BF34" s="368" t="s">
        <v>448</v>
      </c>
      <c r="BG34" s="368" t="s">
        <v>337</v>
      </c>
      <c r="BH34" s="368">
        <v>4355.3299960000004</v>
      </c>
      <c r="BI34" s="368">
        <v>1150.9016919999999</v>
      </c>
      <c r="BJ34" s="368">
        <v>2269.321418</v>
      </c>
      <c r="BK34" s="368">
        <v>1688375.1356510001</v>
      </c>
      <c r="BL34" s="368">
        <v>133024.790381</v>
      </c>
      <c r="BM34" s="368">
        <v>0.99385699999999999</v>
      </c>
      <c r="BO34" s="367" t="s">
        <v>240</v>
      </c>
      <c r="BZ34" s="367" t="s">
        <v>240</v>
      </c>
      <c r="CK34" s="367" t="s">
        <v>240</v>
      </c>
      <c r="CV34" s="367" t="s">
        <v>240</v>
      </c>
      <c r="DG34" s="367" t="s">
        <v>240</v>
      </c>
      <c r="DR34" s="367" t="s">
        <v>240</v>
      </c>
      <c r="EC34" s="367" t="s">
        <v>240</v>
      </c>
    </row>
    <row r="35" spans="1:133" x14ac:dyDescent="0.25">
      <c r="A35" s="367" t="s">
        <v>241</v>
      </c>
      <c r="L35" s="367" t="s">
        <v>241</v>
      </c>
      <c r="W35" s="367" t="s">
        <v>241</v>
      </c>
      <c r="AH35" s="367" t="s">
        <v>241</v>
      </c>
      <c r="AS35" s="367" t="s">
        <v>241</v>
      </c>
      <c r="BD35" s="367" t="s">
        <v>241</v>
      </c>
      <c r="BE35" s="368" t="s">
        <v>447</v>
      </c>
      <c r="BF35" s="368" t="s">
        <v>448</v>
      </c>
      <c r="BG35" s="368" t="s">
        <v>337</v>
      </c>
      <c r="BH35" s="368">
        <v>5072.4082840000001</v>
      </c>
      <c r="BI35" s="368">
        <v>1985.378117</v>
      </c>
      <c r="BJ35" s="368">
        <v>3035.0787799999998</v>
      </c>
      <c r="BK35" s="368">
        <v>2258098.6128409998</v>
      </c>
      <c r="BL35" s="368">
        <v>351087.80046</v>
      </c>
      <c r="BM35" s="368">
        <v>0.99170899999999995</v>
      </c>
      <c r="BO35" s="367" t="s">
        <v>241</v>
      </c>
      <c r="BZ35" s="367" t="s">
        <v>241</v>
      </c>
      <c r="CK35" s="367" t="s">
        <v>241</v>
      </c>
      <c r="CV35" s="367" t="s">
        <v>241</v>
      </c>
      <c r="DG35" s="367" t="s">
        <v>241</v>
      </c>
      <c r="DR35" s="367" t="s">
        <v>241</v>
      </c>
      <c r="EC35" s="367" t="s">
        <v>241</v>
      </c>
    </row>
    <row r="36" spans="1:133" x14ac:dyDescent="0.25">
      <c r="A36" s="367" t="s">
        <v>242</v>
      </c>
      <c r="L36" s="367" t="s">
        <v>242</v>
      </c>
      <c r="W36" s="367" t="s">
        <v>242</v>
      </c>
      <c r="AH36" s="367" t="s">
        <v>242</v>
      </c>
      <c r="AS36" s="367" t="s">
        <v>242</v>
      </c>
      <c r="BD36" s="367" t="s">
        <v>242</v>
      </c>
      <c r="BE36" s="368" t="s">
        <v>447</v>
      </c>
      <c r="BF36" s="368" t="s">
        <v>448</v>
      </c>
      <c r="BG36" s="368" t="s">
        <v>337</v>
      </c>
      <c r="BH36" s="368">
        <v>5288.0467930000004</v>
      </c>
      <c r="BI36" s="368">
        <v>1941.605</v>
      </c>
      <c r="BJ36" s="368">
        <v>3129.688596</v>
      </c>
      <c r="BK36" s="368">
        <v>2328488.3160549998</v>
      </c>
      <c r="BL36" s="368">
        <v>509801.89750100003</v>
      </c>
      <c r="BM36" s="368">
        <v>0.98503700000000005</v>
      </c>
      <c r="BO36" s="367" t="s">
        <v>242</v>
      </c>
      <c r="BZ36" s="367" t="s">
        <v>242</v>
      </c>
      <c r="CK36" s="367" t="s">
        <v>242</v>
      </c>
      <c r="CV36" s="367" t="s">
        <v>242</v>
      </c>
      <c r="DG36" s="367" t="s">
        <v>242</v>
      </c>
      <c r="DR36" s="367" t="s">
        <v>242</v>
      </c>
      <c r="EC36" s="367" t="s">
        <v>242</v>
      </c>
    </row>
    <row r="37" spans="1:133" x14ac:dyDescent="0.25">
      <c r="A37" t="s">
        <v>449</v>
      </c>
      <c r="L37" t="s">
        <v>449</v>
      </c>
      <c r="W37" t="s">
        <v>449</v>
      </c>
      <c r="AH37" t="s">
        <v>449</v>
      </c>
      <c r="AS37" t="s">
        <v>449</v>
      </c>
      <c r="BD37" t="s">
        <v>449</v>
      </c>
      <c r="BE37" s="368" t="s">
        <v>447</v>
      </c>
      <c r="BF37" s="368" t="s">
        <v>448</v>
      </c>
      <c r="BG37" s="368" t="s">
        <v>337</v>
      </c>
      <c r="BH37" s="368">
        <v>4063.9716790000002</v>
      </c>
      <c r="BI37" s="368">
        <v>2069.6249790000002</v>
      </c>
      <c r="BJ37" s="368">
        <v>3040.2009600000001</v>
      </c>
      <c r="BK37" s="368">
        <v>2261909.5145450002</v>
      </c>
      <c r="BL37" s="368">
        <v>141707.145563</v>
      </c>
      <c r="BM37" s="368">
        <v>0.99654699999999996</v>
      </c>
      <c r="BO37" t="s">
        <v>449</v>
      </c>
      <c r="BZ37" t="s">
        <v>449</v>
      </c>
      <c r="CK37" t="s">
        <v>449</v>
      </c>
      <c r="CV37" t="s">
        <v>449</v>
      </c>
      <c r="DG37" t="s">
        <v>449</v>
      </c>
      <c r="DR37" t="s">
        <v>449</v>
      </c>
      <c r="EC37" t="s">
        <v>449</v>
      </c>
    </row>
    <row r="38" spans="1:133" x14ac:dyDescent="0.25">
      <c r="A38" s="367" t="s">
        <v>243</v>
      </c>
      <c r="L38" s="367" t="s">
        <v>243</v>
      </c>
      <c r="W38" s="367" t="s">
        <v>243</v>
      </c>
      <c r="AH38" s="367" t="s">
        <v>243</v>
      </c>
      <c r="AS38" s="367" t="s">
        <v>243</v>
      </c>
      <c r="BD38" s="367" t="s">
        <v>243</v>
      </c>
      <c r="BE38" s="368" t="s">
        <v>447</v>
      </c>
      <c r="BF38" s="368" t="s">
        <v>448</v>
      </c>
      <c r="BG38" s="368" t="s">
        <v>337</v>
      </c>
      <c r="BH38" s="368">
        <v>2780.0500080000002</v>
      </c>
      <c r="BI38" s="368">
        <v>923.43505800000003</v>
      </c>
      <c r="BJ38" s="368">
        <v>1640.8448249999999</v>
      </c>
      <c r="BK38" s="368">
        <v>1220788.5499160001</v>
      </c>
      <c r="BL38" s="368">
        <v>115218.95196400001</v>
      </c>
      <c r="BM38" s="368">
        <v>0.99173</v>
      </c>
      <c r="BO38" s="367" t="s">
        <v>243</v>
      </c>
      <c r="BZ38" s="367" t="s">
        <v>243</v>
      </c>
      <c r="CK38" s="367" t="s">
        <v>243</v>
      </c>
      <c r="CV38" s="367" t="s">
        <v>243</v>
      </c>
      <c r="DG38" s="367" t="s">
        <v>243</v>
      </c>
      <c r="DR38" s="367" t="s">
        <v>243</v>
      </c>
      <c r="EC38" s="367" t="s">
        <v>243</v>
      </c>
    </row>
    <row r="39" spans="1:133" x14ac:dyDescent="0.25">
      <c r="A39" s="367" t="s">
        <v>244</v>
      </c>
      <c r="L39" s="367" t="s">
        <v>244</v>
      </c>
      <c r="W39" s="367" t="s">
        <v>244</v>
      </c>
      <c r="AH39" s="367" t="s">
        <v>244</v>
      </c>
      <c r="AS39" s="367" t="s">
        <v>244</v>
      </c>
      <c r="BD39" s="367" t="s">
        <v>244</v>
      </c>
      <c r="BE39" s="368" t="s">
        <v>447</v>
      </c>
      <c r="BF39" s="368" t="s">
        <v>448</v>
      </c>
      <c r="BG39" s="368" t="s">
        <v>337</v>
      </c>
      <c r="BH39" s="368">
        <v>5820.4299309999997</v>
      </c>
      <c r="BI39" s="368">
        <v>2302.7333170000002</v>
      </c>
      <c r="BJ39" s="368">
        <v>3626.4128470000001</v>
      </c>
      <c r="BK39" s="368">
        <v>2698051.1587729999</v>
      </c>
      <c r="BL39" s="368">
        <v>294344.036639</v>
      </c>
      <c r="BM39" s="368">
        <v>0.99815699999999996</v>
      </c>
      <c r="BO39" s="367" t="s">
        <v>244</v>
      </c>
      <c r="BZ39" s="367" t="s">
        <v>244</v>
      </c>
      <c r="CK39" s="367" t="s">
        <v>244</v>
      </c>
      <c r="CV39" s="367" t="s">
        <v>244</v>
      </c>
      <c r="DG39" s="367" t="s">
        <v>244</v>
      </c>
      <c r="DR39" s="367" t="s">
        <v>244</v>
      </c>
      <c r="EC39" s="367" t="s">
        <v>244</v>
      </c>
    </row>
    <row r="40" spans="1:133" x14ac:dyDescent="0.25">
      <c r="A40" s="367" t="s">
        <v>245</v>
      </c>
      <c r="L40" s="367" t="s">
        <v>245</v>
      </c>
      <c r="W40" s="367" t="s">
        <v>245</v>
      </c>
      <c r="AH40" s="367" t="s">
        <v>245</v>
      </c>
      <c r="AS40" s="367" t="s">
        <v>245</v>
      </c>
      <c r="BD40" s="367" t="s">
        <v>245</v>
      </c>
      <c r="BE40" s="368" t="s">
        <v>447</v>
      </c>
      <c r="BF40" s="368" t="s">
        <v>448</v>
      </c>
      <c r="BG40" s="368" t="s">
        <v>337</v>
      </c>
      <c r="BH40" s="368">
        <v>6560.779947</v>
      </c>
      <c r="BI40" s="368">
        <v>2543.6483149999999</v>
      </c>
      <c r="BJ40" s="368">
        <v>4154.8791080000001</v>
      </c>
      <c r="BK40" s="368">
        <v>3091230.0569159999</v>
      </c>
      <c r="BL40" s="368">
        <v>668989.92074199999</v>
      </c>
      <c r="BM40" s="368">
        <v>0.98385900000000004</v>
      </c>
      <c r="BO40" s="367" t="s">
        <v>245</v>
      </c>
      <c r="BZ40" s="367" t="s">
        <v>245</v>
      </c>
      <c r="CK40" s="367" t="s">
        <v>245</v>
      </c>
      <c r="CV40" s="367" t="s">
        <v>245</v>
      </c>
      <c r="DG40" s="367" t="s">
        <v>245</v>
      </c>
      <c r="DR40" s="367" t="s">
        <v>245</v>
      </c>
      <c r="EC40" s="367" t="s">
        <v>245</v>
      </c>
    </row>
    <row r="41" spans="1:133" x14ac:dyDescent="0.25">
      <c r="A41" s="367" t="s">
        <v>246</v>
      </c>
      <c r="L41" s="367" t="s">
        <v>246</v>
      </c>
      <c r="W41" s="367" t="s">
        <v>246</v>
      </c>
      <c r="AH41" s="367" t="s">
        <v>246</v>
      </c>
      <c r="AS41" s="367" t="s">
        <v>246</v>
      </c>
      <c r="BD41" s="367" t="s">
        <v>246</v>
      </c>
      <c r="BE41" s="368" t="s">
        <v>447</v>
      </c>
      <c r="BF41" s="368" t="s">
        <v>448</v>
      </c>
      <c r="BG41" s="368" t="s">
        <v>337</v>
      </c>
      <c r="BH41" s="368">
        <v>5133.3416340000003</v>
      </c>
      <c r="BI41" s="368">
        <v>1739.5188840000001</v>
      </c>
      <c r="BJ41" s="368">
        <v>3050.4979189999999</v>
      </c>
      <c r="BK41" s="368">
        <v>2269570.4518639999</v>
      </c>
      <c r="BL41" s="368">
        <v>370649.83464199997</v>
      </c>
      <c r="BM41" s="368">
        <v>0.99004400000000004</v>
      </c>
      <c r="BO41" s="367" t="s">
        <v>246</v>
      </c>
      <c r="BZ41" s="367" t="s">
        <v>246</v>
      </c>
      <c r="CK41" s="367" t="s">
        <v>246</v>
      </c>
      <c r="CV41" s="367" t="s">
        <v>246</v>
      </c>
      <c r="DG41" s="367" t="s">
        <v>246</v>
      </c>
      <c r="DR41" s="367" t="s">
        <v>246</v>
      </c>
      <c r="EC41" s="367" t="s">
        <v>246</v>
      </c>
    </row>
    <row r="42" spans="1:133" x14ac:dyDescent="0.25">
      <c r="A42" s="367" t="s">
        <v>247</v>
      </c>
      <c r="L42" s="367" t="s">
        <v>247</v>
      </c>
      <c r="W42" s="367" t="s">
        <v>247</v>
      </c>
      <c r="AH42" s="367" t="s">
        <v>247</v>
      </c>
      <c r="AS42" s="367" t="s">
        <v>247</v>
      </c>
      <c r="BD42" s="367" t="s">
        <v>247</v>
      </c>
      <c r="BE42" s="368" t="s">
        <v>447</v>
      </c>
      <c r="BF42" s="368" t="s">
        <v>448</v>
      </c>
      <c r="BG42" s="368" t="s">
        <v>337</v>
      </c>
      <c r="BH42" s="368">
        <v>2853.6151249999998</v>
      </c>
      <c r="BI42" s="368">
        <v>1486.2889279999999</v>
      </c>
      <c r="BJ42" s="368">
        <v>2081.702303</v>
      </c>
      <c r="BK42" s="368">
        <v>1548786.513913</v>
      </c>
      <c r="BL42" s="368">
        <v>83808.917388000002</v>
      </c>
      <c r="BM42" s="368">
        <v>0.99594300000000002</v>
      </c>
      <c r="BO42" s="367" t="s">
        <v>247</v>
      </c>
      <c r="BZ42" s="367" t="s">
        <v>247</v>
      </c>
      <c r="CK42" s="367" t="s">
        <v>247</v>
      </c>
      <c r="CV42" s="367" t="s">
        <v>247</v>
      </c>
      <c r="DG42" s="367" t="s">
        <v>247</v>
      </c>
      <c r="DR42" s="367" t="s">
        <v>247</v>
      </c>
      <c r="EC42" s="367" t="s">
        <v>247</v>
      </c>
    </row>
    <row r="43" spans="1:133" x14ac:dyDescent="0.25">
      <c r="A43" s="367" t="s">
        <v>248</v>
      </c>
      <c r="L43" s="367" t="s">
        <v>248</v>
      </c>
      <c r="W43" s="367" t="s">
        <v>248</v>
      </c>
      <c r="AH43" s="367" t="s">
        <v>248</v>
      </c>
      <c r="AS43" s="367" t="s">
        <v>248</v>
      </c>
      <c r="BD43" s="367" t="s">
        <v>248</v>
      </c>
      <c r="BE43" s="368" t="s">
        <v>447</v>
      </c>
      <c r="BF43" s="368" t="s">
        <v>448</v>
      </c>
      <c r="BG43" s="368" t="s">
        <v>337</v>
      </c>
      <c r="BH43" s="368">
        <v>3946.4200030000002</v>
      </c>
      <c r="BI43" s="368">
        <v>1876.1071469999999</v>
      </c>
      <c r="BJ43" s="368">
        <v>3061.9304219999999</v>
      </c>
      <c r="BK43" s="368">
        <v>2278076.2346580001</v>
      </c>
      <c r="BL43" s="368">
        <v>242110.706779</v>
      </c>
      <c r="BM43" s="368">
        <v>0.9768</v>
      </c>
      <c r="BO43" s="367" t="s">
        <v>248</v>
      </c>
      <c r="BZ43" s="367" t="s">
        <v>248</v>
      </c>
      <c r="CK43" s="367" t="s">
        <v>248</v>
      </c>
      <c r="CV43" s="367" t="s">
        <v>248</v>
      </c>
      <c r="DG43" s="367" t="s">
        <v>248</v>
      </c>
      <c r="DR43" s="367" t="s">
        <v>248</v>
      </c>
      <c r="EC43" s="367" t="s">
        <v>248</v>
      </c>
    </row>
    <row r="44" spans="1:133" x14ac:dyDescent="0.25">
      <c r="A44" t="s">
        <v>313</v>
      </c>
      <c r="L44" t="s">
        <v>313</v>
      </c>
      <c r="W44" t="s">
        <v>313</v>
      </c>
      <c r="AH44" t="s">
        <v>313</v>
      </c>
      <c r="AS44" t="s">
        <v>313</v>
      </c>
      <c r="BD44" t="s">
        <v>313</v>
      </c>
      <c r="BE44" s="368" t="s">
        <v>447</v>
      </c>
      <c r="BF44" s="368" t="s">
        <v>448</v>
      </c>
      <c r="BG44" s="368" t="s">
        <v>337</v>
      </c>
      <c r="BH44" s="368">
        <v>3596.1183259999998</v>
      </c>
      <c r="BI44" s="368">
        <v>1117.5483389999999</v>
      </c>
      <c r="BJ44" s="368">
        <v>2050.0423249999999</v>
      </c>
      <c r="BK44" s="368">
        <v>1525231.4899919999</v>
      </c>
      <c r="BL44" s="368">
        <v>359270.78595400002</v>
      </c>
      <c r="BM44" s="368">
        <v>0.98177199999999998</v>
      </c>
      <c r="BO44" t="s">
        <v>313</v>
      </c>
      <c r="BZ44" t="s">
        <v>313</v>
      </c>
      <c r="CK44" t="s">
        <v>313</v>
      </c>
      <c r="CV44" t="s">
        <v>313</v>
      </c>
      <c r="DG44" t="s">
        <v>313</v>
      </c>
      <c r="DR44" t="s">
        <v>313</v>
      </c>
      <c r="EC44" t="s">
        <v>313</v>
      </c>
    </row>
    <row r="45" spans="1:133" x14ac:dyDescent="0.25">
      <c r="A45" t="s">
        <v>314</v>
      </c>
      <c r="L45" t="s">
        <v>314</v>
      </c>
      <c r="W45" t="s">
        <v>314</v>
      </c>
      <c r="AH45" t="s">
        <v>314</v>
      </c>
      <c r="AS45" t="s">
        <v>314</v>
      </c>
      <c r="BD45" t="s">
        <v>314</v>
      </c>
      <c r="BE45" s="368" t="s">
        <v>447</v>
      </c>
      <c r="BF45" s="368" t="s">
        <v>448</v>
      </c>
      <c r="BG45" s="368" t="s">
        <v>337</v>
      </c>
      <c r="BH45" s="368">
        <v>4706.8116040000004</v>
      </c>
      <c r="BI45" s="368">
        <v>1212.649089</v>
      </c>
      <c r="BJ45" s="368">
        <v>2729.216183</v>
      </c>
      <c r="BK45" s="368">
        <v>2030536.8407910001</v>
      </c>
      <c r="BL45" s="368">
        <v>181594.96070299999</v>
      </c>
      <c r="BM45" s="368">
        <v>0.99570199999999998</v>
      </c>
      <c r="BO45" t="s">
        <v>314</v>
      </c>
      <c r="BZ45" t="s">
        <v>314</v>
      </c>
      <c r="CK45" t="s">
        <v>314</v>
      </c>
      <c r="CV45" t="s">
        <v>314</v>
      </c>
      <c r="DG45" t="s">
        <v>314</v>
      </c>
      <c r="DR45" t="s">
        <v>314</v>
      </c>
      <c r="EC45" t="s">
        <v>314</v>
      </c>
    </row>
    <row r="46" spans="1:133" x14ac:dyDescent="0.25">
      <c r="A46" t="s">
        <v>315</v>
      </c>
      <c r="L46" t="s">
        <v>315</v>
      </c>
      <c r="W46" t="s">
        <v>315</v>
      </c>
      <c r="AH46" t="s">
        <v>315</v>
      </c>
      <c r="AS46" t="s">
        <v>315</v>
      </c>
      <c r="BD46" t="s">
        <v>315</v>
      </c>
      <c r="BE46" s="368" t="s">
        <v>447</v>
      </c>
      <c r="BF46" s="368" t="s">
        <v>448</v>
      </c>
      <c r="BG46" s="368" t="s">
        <v>337</v>
      </c>
      <c r="BH46" s="368">
        <v>3525.1966550000002</v>
      </c>
      <c r="BI46" s="368">
        <v>1282.5199990000001</v>
      </c>
      <c r="BJ46" s="368">
        <v>2097.5674730000001</v>
      </c>
      <c r="BK46" s="368">
        <v>1560590.2002270001</v>
      </c>
      <c r="BL46" s="368">
        <v>99175.871490000005</v>
      </c>
      <c r="BM46" s="368">
        <v>0.996116</v>
      </c>
      <c r="BO46" t="s">
        <v>315</v>
      </c>
      <c r="BZ46" t="s">
        <v>315</v>
      </c>
      <c r="CK46" t="s">
        <v>315</v>
      </c>
      <c r="CV46" t="s">
        <v>315</v>
      </c>
      <c r="DG46" t="s">
        <v>315</v>
      </c>
      <c r="DR46" t="s">
        <v>315</v>
      </c>
      <c r="EC46" t="s">
        <v>315</v>
      </c>
    </row>
    <row r="47" spans="1:133" x14ac:dyDescent="0.25">
      <c r="A47" t="s">
        <v>316</v>
      </c>
      <c r="L47" t="s">
        <v>316</v>
      </c>
      <c r="W47" t="s">
        <v>316</v>
      </c>
      <c r="AH47" t="s">
        <v>316</v>
      </c>
      <c r="AS47" t="s">
        <v>316</v>
      </c>
      <c r="BD47" t="s">
        <v>316</v>
      </c>
      <c r="BE47" s="368" t="s">
        <v>447</v>
      </c>
      <c r="BF47" s="368" t="s">
        <v>448</v>
      </c>
      <c r="BG47" s="368" t="s">
        <v>337</v>
      </c>
      <c r="BH47" s="368">
        <v>3676.6433099999999</v>
      </c>
      <c r="BI47" s="368">
        <v>1324.378316</v>
      </c>
      <c r="BJ47" s="368">
        <v>2470.2368029999998</v>
      </c>
      <c r="BK47" s="368">
        <v>1837856.1815289999</v>
      </c>
      <c r="BL47" s="368">
        <v>194484.719557</v>
      </c>
      <c r="BM47" s="368">
        <v>0.98938300000000001</v>
      </c>
      <c r="BO47" t="s">
        <v>316</v>
      </c>
      <c r="BZ47" t="s">
        <v>316</v>
      </c>
      <c r="CK47" t="s">
        <v>316</v>
      </c>
      <c r="CV47" t="s">
        <v>316</v>
      </c>
      <c r="DG47" t="s">
        <v>316</v>
      </c>
      <c r="DR47" t="s">
        <v>316</v>
      </c>
      <c r="EC47" t="s">
        <v>316</v>
      </c>
    </row>
    <row r="48" spans="1:133" x14ac:dyDescent="0.25">
      <c r="A48" t="s">
        <v>317</v>
      </c>
      <c r="L48" t="s">
        <v>317</v>
      </c>
      <c r="W48" t="s">
        <v>317</v>
      </c>
      <c r="AH48" t="s">
        <v>317</v>
      </c>
      <c r="AS48" t="s">
        <v>317</v>
      </c>
      <c r="BD48" t="s">
        <v>317</v>
      </c>
      <c r="BE48" s="368" t="s">
        <v>447</v>
      </c>
      <c r="BF48" s="368" t="s">
        <v>448</v>
      </c>
      <c r="BG48" s="368" t="s">
        <v>337</v>
      </c>
      <c r="BH48" s="368">
        <v>3728.7600090000001</v>
      </c>
      <c r="BI48" s="368">
        <v>1614.5816649999999</v>
      </c>
      <c r="BJ48" s="368">
        <v>2644.0853529999999</v>
      </c>
      <c r="BK48" s="368">
        <v>1967199.5027679999</v>
      </c>
      <c r="BL48" s="368">
        <v>88132.675273000001</v>
      </c>
      <c r="BM48" s="368">
        <v>0.99840300000000004</v>
      </c>
      <c r="BO48" t="s">
        <v>317</v>
      </c>
      <c r="BZ48" t="s">
        <v>317</v>
      </c>
      <c r="CK48" t="s">
        <v>317</v>
      </c>
      <c r="CV48" t="s">
        <v>317</v>
      </c>
      <c r="DG48" t="s">
        <v>317</v>
      </c>
      <c r="DR48" t="s">
        <v>317</v>
      </c>
      <c r="EC48" t="s">
        <v>317</v>
      </c>
    </row>
    <row r="49" spans="1:133" x14ac:dyDescent="0.25">
      <c r="A49" t="s">
        <v>318</v>
      </c>
      <c r="L49" t="s">
        <v>318</v>
      </c>
      <c r="W49" t="s">
        <v>318</v>
      </c>
      <c r="AH49" t="s">
        <v>318</v>
      </c>
      <c r="AS49" t="s">
        <v>318</v>
      </c>
      <c r="BD49" t="s">
        <v>318</v>
      </c>
      <c r="BE49" s="368" t="s">
        <v>447</v>
      </c>
      <c r="BF49" s="368" t="s">
        <v>448</v>
      </c>
      <c r="BG49" s="368" t="s">
        <v>337</v>
      </c>
      <c r="BH49" s="368">
        <v>4086.1933589999999</v>
      </c>
      <c r="BI49" s="368">
        <v>1733.003336</v>
      </c>
      <c r="BJ49" s="368">
        <v>2971.1401219999998</v>
      </c>
      <c r="BK49" s="368">
        <v>2210528.2508669998</v>
      </c>
      <c r="BL49" s="368">
        <v>307716.15644200001</v>
      </c>
      <c r="BM49" s="368">
        <v>0.99226899999999996</v>
      </c>
      <c r="BO49" t="s">
        <v>318</v>
      </c>
      <c r="BZ49" t="s">
        <v>318</v>
      </c>
      <c r="CK49" t="s">
        <v>318</v>
      </c>
      <c r="CV49" t="s">
        <v>318</v>
      </c>
      <c r="DG49" t="s">
        <v>318</v>
      </c>
      <c r="DR49" t="s">
        <v>318</v>
      </c>
      <c r="EC49" t="s">
        <v>318</v>
      </c>
    </row>
    <row r="50" spans="1:133" x14ac:dyDescent="0.25">
      <c r="A50" t="s">
        <v>319</v>
      </c>
      <c r="L50" t="s">
        <v>319</v>
      </c>
      <c r="W50" t="s">
        <v>319</v>
      </c>
      <c r="AH50" t="s">
        <v>319</v>
      </c>
      <c r="AS50" t="s">
        <v>319</v>
      </c>
      <c r="BD50" t="s">
        <v>319</v>
      </c>
      <c r="BE50" s="368" t="s">
        <v>447</v>
      </c>
      <c r="BF50" s="368" t="s">
        <v>448</v>
      </c>
      <c r="BG50" s="368" t="s">
        <v>337</v>
      </c>
      <c r="BH50" s="368">
        <v>5578.8033850000002</v>
      </c>
      <c r="BI50" s="368">
        <v>2680.828027</v>
      </c>
      <c r="BJ50" s="368">
        <v>4213.3977599999998</v>
      </c>
      <c r="BK50" s="368">
        <v>3134767.9339510002</v>
      </c>
      <c r="BL50" s="368">
        <v>581301.98358400003</v>
      </c>
      <c r="BM50" s="368">
        <v>0.99113700000000005</v>
      </c>
      <c r="BO50" t="s">
        <v>319</v>
      </c>
      <c r="BZ50" t="s">
        <v>319</v>
      </c>
      <c r="CK50" t="s">
        <v>319</v>
      </c>
      <c r="CV50" t="s">
        <v>319</v>
      </c>
      <c r="DG50" t="s">
        <v>319</v>
      </c>
      <c r="DR50" t="s">
        <v>319</v>
      </c>
      <c r="EC50" t="s">
        <v>319</v>
      </c>
    </row>
    <row r="51" spans="1:133" x14ac:dyDescent="0.25">
      <c r="A51" t="s">
        <v>320</v>
      </c>
      <c r="L51" t="s">
        <v>320</v>
      </c>
      <c r="W51" t="s">
        <v>320</v>
      </c>
      <c r="AH51" t="s">
        <v>320</v>
      </c>
      <c r="AS51" t="s">
        <v>320</v>
      </c>
      <c r="BD51" t="s">
        <v>320</v>
      </c>
      <c r="BE51" s="368" t="s">
        <v>447</v>
      </c>
      <c r="BF51" s="368" t="s">
        <v>448</v>
      </c>
      <c r="BG51" s="368" t="s">
        <v>337</v>
      </c>
      <c r="BH51" s="368">
        <v>2670.6183259999998</v>
      </c>
      <c r="BI51" s="368">
        <v>1143.7499789999999</v>
      </c>
      <c r="BJ51" s="368">
        <v>1838.4498329999999</v>
      </c>
      <c r="BK51" s="368">
        <v>1367806.6763480001</v>
      </c>
      <c r="BL51" s="368">
        <v>403226.76286100002</v>
      </c>
      <c r="BM51" s="368">
        <v>0.95346500000000001</v>
      </c>
      <c r="BO51" t="s">
        <v>320</v>
      </c>
      <c r="BZ51" t="s">
        <v>320</v>
      </c>
      <c r="CK51" t="s">
        <v>320</v>
      </c>
      <c r="CV51" t="s">
        <v>320</v>
      </c>
      <c r="DG51" t="s">
        <v>320</v>
      </c>
      <c r="DR51" t="s">
        <v>320</v>
      </c>
      <c r="EC51" t="s">
        <v>320</v>
      </c>
    </row>
    <row r="52" spans="1:133" x14ac:dyDescent="0.25">
      <c r="A52" t="s">
        <v>321</v>
      </c>
      <c r="L52" t="s">
        <v>321</v>
      </c>
      <c r="W52" t="s">
        <v>321</v>
      </c>
      <c r="AH52" t="s">
        <v>321</v>
      </c>
      <c r="AS52" t="s">
        <v>321</v>
      </c>
      <c r="BD52" t="s">
        <v>321</v>
      </c>
      <c r="BE52" s="368" t="s">
        <v>447</v>
      </c>
      <c r="BF52" s="368" t="s">
        <v>448</v>
      </c>
      <c r="BG52" s="368" t="s">
        <v>337</v>
      </c>
      <c r="BH52" s="368">
        <v>2154.6233309999998</v>
      </c>
      <c r="BI52" s="368">
        <v>719.53799400000003</v>
      </c>
      <c r="BJ52" s="368">
        <v>1330.722685</v>
      </c>
      <c r="BK52" s="368">
        <v>990057.67781200004</v>
      </c>
      <c r="BL52" s="368">
        <v>239087.57311299999</v>
      </c>
      <c r="BM52" s="368">
        <v>0.97921999999999998</v>
      </c>
      <c r="BO52" t="s">
        <v>321</v>
      </c>
      <c r="BZ52" t="s">
        <v>321</v>
      </c>
      <c r="CK52" t="s">
        <v>321</v>
      </c>
      <c r="CV52" t="s">
        <v>321</v>
      </c>
      <c r="DG52" t="s">
        <v>321</v>
      </c>
      <c r="DR52" t="s">
        <v>321</v>
      </c>
      <c r="EC52" t="s">
        <v>321</v>
      </c>
    </row>
    <row r="53" spans="1:133" x14ac:dyDescent="0.25">
      <c r="A53" t="s">
        <v>322</v>
      </c>
      <c r="L53" t="s">
        <v>322</v>
      </c>
      <c r="W53" t="s">
        <v>322</v>
      </c>
      <c r="AH53" t="s">
        <v>322</v>
      </c>
      <c r="AS53" t="s">
        <v>322</v>
      </c>
      <c r="BD53" t="s">
        <v>322</v>
      </c>
      <c r="BE53" s="368" t="s">
        <v>447</v>
      </c>
      <c r="BF53" s="368" t="s">
        <v>448</v>
      </c>
      <c r="BG53" s="368" t="s">
        <v>337</v>
      </c>
      <c r="BH53" s="368">
        <v>3260.216715</v>
      </c>
      <c r="BI53" s="368">
        <v>1246.039998</v>
      </c>
      <c r="BJ53" s="368">
        <v>2424.682757</v>
      </c>
      <c r="BK53" s="368">
        <v>1803963.9716719999</v>
      </c>
      <c r="BL53" s="368">
        <v>170595.40719</v>
      </c>
      <c r="BM53" s="368">
        <v>0.99539999999999995</v>
      </c>
      <c r="BO53" t="s">
        <v>322</v>
      </c>
      <c r="BZ53" t="s">
        <v>322</v>
      </c>
      <c r="CK53" t="s">
        <v>322</v>
      </c>
      <c r="CV53" t="s">
        <v>322</v>
      </c>
      <c r="DG53" t="s">
        <v>322</v>
      </c>
      <c r="DR53" t="s">
        <v>322</v>
      </c>
      <c r="EC53" t="s">
        <v>322</v>
      </c>
    </row>
    <row r="54" spans="1:133" x14ac:dyDescent="0.25">
      <c r="A54" t="s">
        <v>325</v>
      </c>
      <c r="L54" t="s">
        <v>325</v>
      </c>
      <c r="W54" t="s">
        <v>325</v>
      </c>
      <c r="AH54" t="s">
        <v>325</v>
      </c>
      <c r="AS54" t="s">
        <v>325</v>
      </c>
      <c r="BD54" t="s">
        <v>325</v>
      </c>
      <c r="BE54" s="368" t="s">
        <v>447</v>
      </c>
      <c r="BF54" s="368" t="s">
        <v>448</v>
      </c>
      <c r="BG54" s="368" t="s">
        <v>337</v>
      </c>
      <c r="BH54" s="368">
        <v>1450.493367</v>
      </c>
      <c r="BI54" s="368">
        <v>139.7465</v>
      </c>
      <c r="BJ54" s="368">
        <v>662.29365399999995</v>
      </c>
      <c r="BK54" s="368">
        <v>492746.47910200001</v>
      </c>
      <c r="BL54" s="368">
        <v>204611.31944399999</v>
      </c>
      <c r="BM54" s="368">
        <v>0.89900400000000003</v>
      </c>
      <c r="BO54" t="s">
        <v>325</v>
      </c>
      <c r="BZ54" t="s">
        <v>325</v>
      </c>
      <c r="CK54" t="s">
        <v>325</v>
      </c>
      <c r="CV54" t="s">
        <v>325</v>
      </c>
      <c r="DG54" t="s">
        <v>325</v>
      </c>
      <c r="DR54" t="s">
        <v>325</v>
      </c>
      <c r="EC54" t="s">
        <v>325</v>
      </c>
    </row>
    <row r="55" spans="1:133" x14ac:dyDescent="0.25">
      <c r="A55" s="367" t="s">
        <v>249</v>
      </c>
      <c r="L55" s="367" t="s">
        <v>249</v>
      </c>
      <c r="W55" s="367" t="s">
        <v>249</v>
      </c>
      <c r="AH55" s="367" t="s">
        <v>249</v>
      </c>
      <c r="AS55" s="367" t="s">
        <v>249</v>
      </c>
      <c r="BD55" s="367" t="s">
        <v>249</v>
      </c>
      <c r="BE55" s="368" t="s">
        <v>447</v>
      </c>
      <c r="BF55" s="368" t="s">
        <v>448</v>
      </c>
      <c r="BG55" s="368" t="s">
        <v>337</v>
      </c>
      <c r="BH55" s="368">
        <v>1949.6350090000001</v>
      </c>
      <c r="BI55" s="368">
        <v>794.17083700000001</v>
      </c>
      <c r="BJ55" s="368">
        <v>1378.8435239999999</v>
      </c>
      <c r="BK55" s="368">
        <v>1025859.581943</v>
      </c>
      <c r="BL55" s="368">
        <v>201299.836844</v>
      </c>
      <c r="BM55" s="368">
        <v>0.97145099999999995</v>
      </c>
      <c r="BO55" s="367" t="s">
        <v>249</v>
      </c>
      <c r="BZ55" s="367" t="s">
        <v>249</v>
      </c>
      <c r="CK55" s="367" t="s">
        <v>249</v>
      </c>
      <c r="CV55" s="367" t="s">
        <v>249</v>
      </c>
      <c r="DG55" s="367" t="s">
        <v>249</v>
      </c>
      <c r="DR55" s="367" t="s">
        <v>249</v>
      </c>
      <c r="EC55" s="367" t="s">
        <v>249</v>
      </c>
    </row>
    <row r="56" spans="1:133" x14ac:dyDescent="0.25">
      <c r="A56" s="367" t="s">
        <v>250</v>
      </c>
      <c r="L56" s="367" t="s">
        <v>250</v>
      </c>
      <c r="W56" s="367" t="s">
        <v>250</v>
      </c>
      <c r="AH56" s="367" t="s">
        <v>250</v>
      </c>
      <c r="AS56" s="367" t="s">
        <v>250</v>
      </c>
      <c r="BD56" s="367" t="s">
        <v>250</v>
      </c>
      <c r="BE56" s="368" t="s">
        <v>447</v>
      </c>
      <c r="BF56" s="368" t="s">
        <v>448</v>
      </c>
      <c r="BG56" s="368" t="s">
        <v>337</v>
      </c>
      <c r="BH56" s="368">
        <v>1923.101684</v>
      </c>
      <c r="BI56" s="368">
        <v>863.96533199999999</v>
      </c>
      <c r="BJ56" s="368">
        <v>1342.6878589999999</v>
      </c>
      <c r="BK56" s="368">
        <v>998959.76743699994</v>
      </c>
      <c r="BL56" s="368">
        <v>177039.47289999999</v>
      </c>
      <c r="BM56" s="368">
        <v>0.98461100000000001</v>
      </c>
      <c r="BO56" s="367" t="s">
        <v>250</v>
      </c>
      <c r="BZ56" s="367" t="s">
        <v>250</v>
      </c>
      <c r="CK56" s="367" t="s">
        <v>250</v>
      </c>
      <c r="CV56" s="367" t="s">
        <v>250</v>
      </c>
      <c r="DG56" s="367" t="s">
        <v>250</v>
      </c>
      <c r="DR56" s="367" t="s">
        <v>250</v>
      </c>
      <c r="EC56" s="367" t="s">
        <v>250</v>
      </c>
    </row>
    <row r="57" spans="1:133" x14ac:dyDescent="0.25">
      <c r="A57" t="s">
        <v>450</v>
      </c>
      <c r="L57" t="s">
        <v>450</v>
      </c>
      <c r="W57" t="s">
        <v>450</v>
      </c>
      <c r="AH57" t="s">
        <v>450</v>
      </c>
      <c r="AS57" t="s">
        <v>450</v>
      </c>
      <c r="BD57" t="s">
        <v>450</v>
      </c>
      <c r="BE57" s="368" t="s">
        <v>447</v>
      </c>
      <c r="BF57" s="368" t="s">
        <v>448</v>
      </c>
      <c r="BG57" s="368" t="s">
        <v>337</v>
      </c>
      <c r="BH57" s="368">
        <v>8633.9152009999998</v>
      </c>
      <c r="BI57" s="368">
        <v>3214.6982819999998</v>
      </c>
      <c r="BJ57" s="368">
        <v>5769.0713320000004</v>
      </c>
      <c r="BK57" s="368">
        <v>4292189.0717280004</v>
      </c>
      <c r="BL57" s="368">
        <v>460571.248677</v>
      </c>
      <c r="BM57" s="368">
        <v>0.98319999999999996</v>
      </c>
      <c r="BO57" t="s">
        <v>450</v>
      </c>
      <c r="BZ57" t="s">
        <v>450</v>
      </c>
      <c r="CK57" t="s">
        <v>450</v>
      </c>
      <c r="CV57" t="s">
        <v>450</v>
      </c>
      <c r="DG57" t="s">
        <v>450</v>
      </c>
      <c r="DR57" t="s">
        <v>450</v>
      </c>
      <c r="EC57" t="s">
        <v>450</v>
      </c>
    </row>
    <row r="58" spans="1:133" x14ac:dyDescent="0.25">
      <c r="A58" t="s">
        <v>369</v>
      </c>
      <c r="L58" t="s">
        <v>369</v>
      </c>
      <c r="W58" t="s">
        <v>369</v>
      </c>
      <c r="AH58" t="s">
        <v>369</v>
      </c>
      <c r="AS58" t="s">
        <v>369</v>
      </c>
      <c r="BD58" t="s">
        <v>369</v>
      </c>
      <c r="BE58" s="368" t="s">
        <v>447</v>
      </c>
      <c r="BF58" s="368" t="s">
        <v>448</v>
      </c>
      <c r="BG58" s="368" t="s">
        <v>337</v>
      </c>
      <c r="BH58" s="368">
        <v>1891.245015</v>
      </c>
      <c r="BI58" s="368">
        <v>932.66238899999996</v>
      </c>
      <c r="BJ58" s="368">
        <v>1371.3139719999999</v>
      </c>
      <c r="BK58" s="368">
        <v>1020257.595299</v>
      </c>
      <c r="BL58" s="368">
        <v>256228.53334699999</v>
      </c>
      <c r="BM58" s="368">
        <v>0.96548400000000001</v>
      </c>
      <c r="BO58" t="s">
        <v>369</v>
      </c>
      <c r="BZ58" t="s">
        <v>369</v>
      </c>
      <c r="CK58" t="s">
        <v>369</v>
      </c>
      <c r="CV58" t="s">
        <v>369</v>
      </c>
      <c r="DG58" t="s">
        <v>369</v>
      </c>
      <c r="DR58" t="s">
        <v>369</v>
      </c>
      <c r="EC58" t="s">
        <v>369</v>
      </c>
    </row>
    <row r="59" spans="1:133" x14ac:dyDescent="0.25">
      <c r="A59" s="367" t="s">
        <v>359</v>
      </c>
      <c r="L59" s="367" t="s">
        <v>359</v>
      </c>
      <c r="W59" s="367" t="s">
        <v>359</v>
      </c>
      <c r="AH59" s="367" t="s">
        <v>359</v>
      </c>
      <c r="AS59" s="367" t="s">
        <v>359</v>
      </c>
      <c r="BD59" s="367" t="s">
        <v>359</v>
      </c>
      <c r="BE59" s="368" t="s">
        <v>447</v>
      </c>
      <c r="BF59" s="368" t="s">
        <v>448</v>
      </c>
      <c r="BG59" s="368" t="s">
        <v>337</v>
      </c>
      <c r="BH59" s="368">
        <v>2409.8816320000001</v>
      </c>
      <c r="BI59" s="368">
        <v>743.39466000000004</v>
      </c>
      <c r="BJ59" s="368">
        <v>1417.095057</v>
      </c>
      <c r="BK59" s="368">
        <v>1054318.722573</v>
      </c>
      <c r="BL59" s="368">
        <v>-23019.297086999999</v>
      </c>
      <c r="BM59" s="368">
        <v>0.99984300000000004</v>
      </c>
      <c r="BO59" s="367" t="s">
        <v>359</v>
      </c>
      <c r="BZ59" s="367" t="s">
        <v>359</v>
      </c>
      <c r="CK59" s="367" t="s">
        <v>359</v>
      </c>
      <c r="CV59" s="367" t="s">
        <v>359</v>
      </c>
      <c r="DG59" s="367" t="s">
        <v>359</v>
      </c>
      <c r="DR59" s="367" t="s">
        <v>359</v>
      </c>
      <c r="EC59" s="367" t="s">
        <v>359</v>
      </c>
    </row>
    <row r="60" spans="1:133" x14ac:dyDescent="0.25">
      <c r="A60" t="s">
        <v>451</v>
      </c>
      <c r="L60" t="s">
        <v>451</v>
      </c>
      <c r="W60" t="s">
        <v>451</v>
      </c>
      <c r="AH60" t="s">
        <v>451</v>
      </c>
      <c r="AS60" t="s">
        <v>451</v>
      </c>
      <c r="BD60" t="s">
        <v>451</v>
      </c>
      <c r="BE60" s="370" t="s">
        <v>447</v>
      </c>
      <c r="BF60" s="370" t="s">
        <v>448</v>
      </c>
      <c r="BG60" s="370" t="s">
        <v>337</v>
      </c>
      <c r="BH60" s="370">
        <v>2984</v>
      </c>
      <c r="BI60" s="370">
        <v>-1</v>
      </c>
      <c r="BJ60" s="370">
        <v>-1</v>
      </c>
      <c r="BK60" s="370">
        <v>1221384</v>
      </c>
      <c r="BL60" s="370">
        <v>-1</v>
      </c>
      <c r="BM60" s="370">
        <v>0.99380000000000002</v>
      </c>
      <c r="BO60" t="s">
        <v>451</v>
      </c>
      <c r="BZ60" t="s">
        <v>451</v>
      </c>
      <c r="CK60" t="s">
        <v>451</v>
      </c>
      <c r="CV60" t="s">
        <v>451</v>
      </c>
      <c r="DG60" t="s">
        <v>451</v>
      </c>
      <c r="DR60" t="s">
        <v>451</v>
      </c>
      <c r="EC60" t="s">
        <v>451</v>
      </c>
    </row>
    <row r="61" spans="1:133" x14ac:dyDescent="0.25">
      <c r="A61" t="s">
        <v>452</v>
      </c>
      <c r="L61" t="s">
        <v>452</v>
      </c>
      <c r="W61" t="s">
        <v>452</v>
      </c>
      <c r="AH61" t="s">
        <v>452</v>
      </c>
      <c r="AS61" t="s">
        <v>452</v>
      </c>
      <c r="BD61" t="s">
        <v>452</v>
      </c>
      <c r="BE61" s="370" t="s">
        <v>447</v>
      </c>
      <c r="BF61" s="370" t="s">
        <v>448</v>
      </c>
      <c r="BG61" s="370" t="s">
        <v>337</v>
      </c>
      <c r="BH61" s="370">
        <v>917</v>
      </c>
      <c r="BI61" s="370">
        <v>-1</v>
      </c>
      <c r="BJ61" s="370">
        <v>-1</v>
      </c>
      <c r="BK61" s="370">
        <v>384878</v>
      </c>
      <c r="BL61" s="370">
        <v>-1</v>
      </c>
      <c r="BM61" s="370">
        <v>0.98540000000000005</v>
      </c>
      <c r="BO61" t="s">
        <v>452</v>
      </c>
      <c r="BZ61" t="s">
        <v>452</v>
      </c>
      <c r="CK61" t="s">
        <v>452</v>
      </c>
      <c r="CV61" t="s">
        <v>452</v>
      </c>
      <c r="DG61" t="s">
        <v>452</v>
      </c>
      <c r="DR61" t="s">
        <v>452</v>
      </c>
      <c r="EC61" t="s">
        <v>452</v>
      </c>
    </row>
    <row r="62" spans="1:133" x14ac:dyDescent="0.25">
      <c r="A62" s="367" t="s">
        <v>453</v>
      </c>
      <c r="L62" s="367" t="s">
        <v>453</v>
      </c>
      <c r="W62" s="367" t="s">
        <v>453</v>
      </c>
      <c r="AH62" s="367" t="s">
        <v>453</v>
      </c>
      <c r="AS62" s="367" t="s">
        <v>453</v>
      </c>
      <c r="BD62" s="375" t="s">
        <v>453</v>
      </c>
      <c r="BE62" s="370" t="s">
        <v>447</v>
      </c>
      <c r="BF62" s="370" t="s">
        <v>448</v>
      </c>
      <c r="BG62" s="370" t="s">
        <v>337</v>
      </c>
      <c r="BH62" s="370">
        <v>2144</v>
      </c>
      <c r="BI62" s="370">
        <v>-1</v>
      </c>
      <c r="BJ62" s="370">
        <v>-1</v>
      </c>
      <c r="BK62" s="370">
        <v>1143255.45</v>
      </c>
      <c r="BL62" s="370">
        <v>-1</v>
      </c>
      <c r="BM62" s="370">
        <v>0.99860000000000004</v>
      </c>
      <c r="BO62" s="367" t="s">
        <v>453</v>
      </c>
      <c r="BZ62" s="367" t="s">
        <v>453</v>
      </c>
      <c r="CK62" s="367" t="s">
        <v>453</v>
      </c>
      <c r="CV62" s="367" t="s">
        <v>453</v>
      </c>
      <c r="DG62" s="367" t="s">
        <v>453</v>
      </c>
      <c r="DR62" s="367" t="s">
        <v>453</v>
      </c>
      <c r="EC62" s="367" t="s">
        <v>453</v>
      </c>
    </row>
    <row r="63" spans="1:133" x14ac:dyDescent="0.25">
      <c r="A63" s="367" t="s">
        <v>454</v>
      </c>
      <c r="L63" s="367" t="s">
        <v>454</v>
      </c>
      <c r="W63" s="367" t="s">
        <v>454</v>
      </c>
      <c r="AH63" s="367" t="s">
        <v>454</v>
      </c>
      <c r="AS63" s="367" t="s">
        <v>454</v>
      </c>
      <c r="BD63" s="367" t="s">
        <v>454</v>
      </c>
      <c r="BE63" s="370" t="s">
        <v>447</v>
      </c>
      <c r="BF63" s="370" t="s">
        <v>448</v>
      </c>
      <c r="BG63" s="370" t="s">
        <v>337</v>
      </c>
      <c r="BH63" s="370">
        <v>2144</v>
      </c>
      <c r="BI63" s="370">
        <v>-1</v>
      </c>
      <c r="BJ63" s="370">
        <v>-1</v>
      </c>
      <c r="BK63" s="370">
        <v>1136510</v>
      </c>
      <c r="BL63" s="370">
        <v>-1</v>
      </c>
      <c r="BM63" s="370">
        <v>0.96650000000000003</v>
      </c>
      <c r="BO63" s="367" t="s">
        <v>454</v>
      </c>
      <c r="BZ63" s="367" t="s">
        <v>454</v>
      </c>
      <c r="CK63" s="367" t="s">
        <v>454</v>
      </c>
      <c r="CV63" s="367" t="s">
        <v>454</v>
      </c>
      <c r="DG63" s="367" t="s">
        <v>454</v>
      </c>
      <c r="DR63" s="367" t="s">
        <v>454</v>
      </c>
      <c r="EC63" s="367" t="s">
        <v>454</v>
      </c>
    </row>
    <row r="64" spans="1:133" x14ac:dyDescent="0.25">
      <c r="A64" t="s">
        <v>455</v>
      </c>
      <c r="L64" t="s">
        <v>455</v>
      </c>
      <c r="W64" t="s">
        <v>455</v>
      </c>
      <c r="AH64" t="s">
        <v>455</v>
      </c>
      <c r="AS64" t="s">
        <v>455</v>
      </c>
      <c r="BD64" t="s">
        <v>455</v>
      </c>
      <c r="BE64" s="370" t="s">
        <v>447</v>
      </c>
      <c r="BF64" s="370" t="s">
        <v>448</v>
      </c>
      <c r="BG64" s="370" t="s">
        <v>337</v>
      </c>
      <c r="BH64" s="370">
        <v>3172</v>
      </c>
      <c r="BI64" s="370">
        <v>-1</v>
      </c>
      <c r="BJ64" s="370">
        <v>-1</v>
      </c>
      <c r="BK64" s="370">
        <v>1406202</v>
      </c>
      <c r="BL64" s="370">
        <v>-1</v>
      </c>
      <c r="BM64" s="370">
        <v>0.96679999999999999</v>
      </c>
      <c r="BO64" t="s">
        <v>455</v>
      </c>
      <c r="BZ64" t="s">
        <v>455</v>
      </c>
      <c r="CK64" t="s">
        <v>455</v>
      </c>
      <c r="CV64" t="s">
        <v>455</v>
      </c>
      <c r="DG64" t="s">
        <v>455</v>
      </c>
      <c r="DR64" t="s">
        <v>455</v>
      </c>
      <c r="EC64" t="s">
        <v>455</v>
      </c>
    </row>
    <row r="65" spans="1:133" x14ac:dyDescent="0.25">
      <c r="A65" t="s">
        <v>456</v>
      </c>
      <c r="L65" t="s">
        <v>456</v>
      </c>
      <c r="W65" t="s">
        <v>456</v>
      </c>
      <c r="AH65" t="s">
        <v>456</v>
      </c>
      <c r="AS65" t="s">
        <v>456</v>
      </c>
      <c r="BD65" t="s">
        <v>456</v>
      </c>
      <c r="BE65" s="370" t="s">
        <v>447</v>
      </c>
      <c r="BF65" s="370" t="s">
        <v>448</v>
      </c>
      <c r="BG65" s="370" t="s">
        <v>337</v>
      </c>
      <c r="BH65" s="370">
        <v>2431</v>
      </c>
      <c r="BI65" s="370">
        <v>-1</v>
      </c>
      <c r="BJ65" s="370">
        <v>-1</v>
      </c>
      <c r="BK65" s="370">
        <v>1168642</v>
      </c>
      <c r="BL65" s="370">
        <v>-1</v>
      </c>
      <c r="BM65" s="370">
        <v>0.98870000000000002</v>
      </c>
      <c r="BO65" t="s">
        <v>456</v>
      </c>
      <c r="BZ65" t="s">
        <v>456</v>
      </c>
      <c r="CK65" t="s">
        <v>456</v>
      </c>
      <c r="CV65" t="s">
        <v>456</v>
      </c>
      <c r="DG65" t="s">
        <v>456</v>
      </c>
      <c r="DR65" t="s">
        <v>456</v>
      </c>
      <c r="EC65" t="s">
        <v>456</v>
      </c>
    </row>
    <row r="66" spans="1:133" x14ac:dyDescent="0.25">
      <c r="A66" t="s">
        <v>457</v>
      </c>
      <c r="L66" t="s">
        <v>457</v>
      </c>
      <c r="W66" t="s">
        <v>457</v>
      </c>
      <c r="AH66" t="s">
        <v>457</v>
      </c>
      <c r="AS66" t="s">
        <v>457</v>
      </c>
      <c r="BD66" t="s">
        <v>457</v>
      </c>
      <c r="BE66" s="370" t="s">
        <v>447</v>
      </c>
      <c r="BF66" s="370" t="s">
        <v>448</v>
      </c>
      <c r="BG66" s="370" t="s">
        <v>337</v>
      </c>
      <c r="BH66" s="370">
        <v>2554</v>
      </c>
      <c r="BI66" s="370">
        <v>-1</v>
      </c>
      <c r="BJ66" s="370">
        <v>-1</v>
      </c>
      <c r="BK66" s="370">
        <v>1137546</v>
      </c>
      <c r="BL66" s="370">
        <v>-1</v>
      </c>
      <c r="BM66" s="370">
        <v>0.99650000000000005</v>
      </c>
      <c r="BO66" t="s">
        <v>457</v>
      </c>
      <c r="BZ66" t="s">
        <v>457</v>
      </c>
      <c r="CK66" t="s">
        <v>457</v>
      </c>
      <c r="CV66" t="s">
        <v>457</v>
      </c>
      <c r="DG66" t="s">
        <v>457</v>
      </c>
      <c r="DR66" t="s">
        <v>457</v>
      </c>
      <c r="EC66" t="s">
        <v>457</v>
      </c>
    </row>
    <row r="67" spans="1:133" x14ac:dyDescent="0.25">
      <c r="A67" s="367" t="s">
        <v>458</v>
      </c>
      <c r="L67" s="367" t="s">
        <v>458</v>
      </c>
      <c r="W67" s="367" t="s">
        <v>458</v>
      </c>
      <c r="AH67" s="367" t="s">
        <v>458</v>
      </c>
      <c r="AS67" s="367" t="s">
        <v>458</v>
      </c>
      <c r="BD67" s="367" t="s">
        <v>458</v>
      </c>
      <c r="BE67" s="370" t="s">
        <v>447</v>
      </c>
      <c r="BF67" s="370" t="s">
        <v>448</v>
      </c>
      <c r="BG67" s="370" t="s">
        <v>337</v>
      </c>
      <c r="BH67" s="370">
        <v>1959</v>
      </c>
      <c r="BI67" s="370">
        <v>-1</v>
      </c>
      <c r="BJ67" s="370">
        <v>-1</v>
      </c>
      <c r="BK67" s="370">
        <v>869039</v>
      </c>
      <c r="BL67" s="370">
        <v>-1</v>
      </c>
      <c r="BM67" s="370">
        <v>0.99824999999999997</v>
      </c>
      <c r="BO67" s="367" t="s">
        <v>458</v>
      </c>
      <c r="BZ67" s="367" t="s">
        <v>458</v>
      </c>
      <c r="CK67" s="367" t="s">
        <v>458</v>
      </c>
      <c r="CV67" s="367" t="s">
        <v>458</v>
      </c>
      <c r="DG67" s="367" t="s">
        <v>458</v>
      </c>
      <c r="DR67" s="367" t="s">
        <v>458</v>
      </c>
      <c r="EC67" s="367" t="s">
        <v>458</v>
      </c>
    </row>
    <row r="68" spans="1:133" x14ac:dyDescent="0.25">
      <c r="A68" s="367" t="s">
        <v>459</v>
      </c>
      <c r="L68" s="367" t="s">
        <v>459</v>
      </c>
      <c r="W68" s="367" t="s">
        <v>459</v>
      </c>
      <c r="AH68" s="367" t="s">
        <v>459</v>
      </c>
      <c r="AS68" s="367" t="s">
        <v>459</v>
      </c>
      <c r="BD68" s="367" t="s">
        <v>459</v>
      </c>
      <c r="BE68" s="370" t="s">
        <v>447</v>
      </c>
      <c r="BF68" s="370" t="s">
        <v>448</v>
      </c>
      <c r="BG68" s="370" t="s">
        <v>337</v>
      </c>
      <c r="BH68" s="370">
        <v>1206</v>
      </c>
      <c r="BI68" s="370">
        <v>-1</v>
      </c>
      <c r="BJ68" s="370">
        <v>-1</v>
      </c>
      <c r="BK68" s="370">
        <v>480241</v>
      </c>
      <c r="BL68" s="370">
        <v>-1</v>
      </c>
      <c r="BM68" s="370">
        <v>0.94579999999999997</v>
      </c>
      <c r="BO68" s="367" t="s">
        <v>459</v>
      </c>
      <c r="BZ68" s="367" t="s">
        <v>459</v>
      </c>
      <c r="CK68" s="367" t="s">
        <v>459</v>
      </c>
      <c r="CV68" s="367" t="s">
        <v>459</v>
      </c>
      <c r="DG68" s="367" t="s">
        <v>459</v>
      </c>
      <c r="DR68" s="367" t="s">
        <v>459</v>
      </c>
      <c r="EC68" s="367" t="s">
        <v>459</v>
      </c>
    </row>
    <row r="69" spans="1:133" x14ac:dyDescent="0.25">
      <c r="A69" s="367" t="s">
        <v>460</v>
      </c>
      <c r="L69" s="367" t="s">
        <v>460</v>
      </c>
      <c r="W69" s="367" t="s">
        <v>460</v>
      </c>
      <c r="AH69" s="367" t="s">
        <v>460</v>
      </c>
      <c r="AS69" s="367" t="s">
        <v>460</v>
      </c>
      <c r="BD69" s="367" t="s">
        <v>460</v>
      </c>
      <c r="BE69" s="370" t="s">
        <v>447</v>
      </c>
      <c r="BF69" s="370" t="s">
        <v>448</v>
      </c>
      <c r="BG69" s="370" t="s">
        <v>337</v>
      </c>
      <c r="BH69" s="370">
        <v>1077</v>
      </c>
      <c r="BI69" s="370">
        <v>-1</v>
      </c>
      <c r="BJ69" s="370">
        <v>-1</v>
      </c>
      <c r="BK69" s="370">
        <v>447499</v>
      </c>
      <c r="BL69" s="370">
        <v>-1</v>
      </c>
      <c r="BM69" s="370">
        <v>0.99780000000000002</v>
      </c>
      <c r="BO69" s="367" t="s">
        <v>460</v>
      </c>
      <c r="BZ69" s="367" t="s">
        <v>460</v>
      </c>
      <c r="CK69" s="367" t="s">
        <v>460</v>
      </c>
      <c r="CV69" s="367" t="s">
        <v>460</v>
      </c>
      <c r="DG69" s="367" t="s">
        <v>460</v>
      </c>
      <c r="DR69" s="367" t="s">
        <v>460</v>
      </c>
      <c r="EC69" s="367" t="s">
        <v>460</v>
      </c>
    </row>
    <row r="70" spans="1:133" x14ac:dyDescent="0.25">
      <c r="A70" s="367" t="s">
        <v>461</v>
      </c>
      <c r="L70" s="367" t="s">
        <v>461</v>
      </c>
      <c r="W70" s="367" t="s">
        <v>461</v>
      </c>
      <c r="AH70" s="367" t="s">
        <v>461</v>
      </c>
      <c r="AS70" s="367" t="s">
        <v>461</v>
      </c>
      <c r="BD70" s="367" t="s">
        <v>461</v>
      </c>
      <c r="BE70" s="370" t="s">
        <v>447</v>
      </c>
      <c r="BF70" s="370" t="s">
        <v>448</v>
      </c>
      <c r="BG70" s="370" t="s">
        <v>337</v>
      </c>
      <c r="BH70" s="370">
        <v>3460</v>
      </c>
      <c r="BI70" s="370">
        <v>-1</v>
      </c>
      <c r="BJ70" s="370">
        <v>-1</v>
      </c>
      <c r="BK70" s="370">
        <v>1713092</v>
      </c>
      <c r="BL70" s="370">
        <v>-1</v>
      </c>
      <c r="BM70" s="370">
        <v>0.98499999999999999</v>
      </c>
      <c r="BO70" s="367" t="s">
        <v>461</v>
      </c>
      <c r="BZ70" s="367" t="s">
        <v>461</v>
      </c>
      <c r="CK70" s="367" t="s">
        <v>461</v>
      </c>
      <c r="CV70" s="367" t="s">
        <v>461</v>
      </c>
      <c r="DG70" s="367" t="s">
        <v>461</v>
      </c>
      <c r="DR70" s="367" t="s">
        <v>461</v>
      </c>
      <c r="EC70" s="367" t="s">
        <v>461</v>
      </c>
    </row>
    <row r="71" spans="1:133" x14ac:dyDescent="0.25">
      <c r="A71" t="s">
        <v>462</v>
      </c>
      <c r="L71" t="s">
        <v>462</v>
      </c>
      <c r="W71" t="s">
        <v>462</v>
      </c>
      <c r="AH71" t="s">
        <v>462</v>
      </c>
      <c r="AS71" t="s">
        <v>462</v>
      </c>
      <c r="BD71" t="s">
        <v>462</v>
      </c>
      <c r="BE71" s="369" t="s">
        <v>447</v>
      </c>
      <c r="BF71" s="369" t="s">
        <v>448</v>
      </c>
      <c r="BG71" s="369" t="s">
        <v>337</v>
      </c>
      <c r="BH71" s="369">
        <v>-1</v>
      </c>
      <c r="BI71" s="369">
        <v>-1</v>
      </c>
      <c r="BJ71" s="369">
        <v>-1</v>
      </c>
      <c r="BK71" s="369">
        <v>-1</v>
      </c>
      <c r="BL71" s="369">
        <v>-1</v>
      </c>
      <c r="BM71" s="369">
        <v>-1</v>
      </c>
      <c r="BO71" t="s">
        <v>462</v>
      </c>
      <c r="BZ71" t="s">
        <v>462</v>
      </c>
      <c r="CK71" t="s">
        <v>462</v>
      </c>
      <c r="CV71" t="s">
        <v>462</v>
      </c>
      <c r="DG71" t="s">
        <v>462</v>
      </c>
      <c r="DR71" t="s">
        <v>462</v>
      </c>
      <c r="EC71" t="s">
        <v>462</v>
      </c>
    </row>
    <row r="72" spans="1:133" x14ac:dyDescent="0.25">
      <c r="A72" t="s">
        <v>463</v>
      </c>
      <c r="L72" t="s">
        <v>463</v>
      </c>
      <c r="W72" t="s">
        <v>463</v>
      </c>
      <c r="AH72" t="s">
        <v>463</v>
      </c>
      <c r="AS72" t="s">
        <v>463</v>
      </c>
      <c r="BD72" t="s">
        <v>463</v>
      </c>
      <c r="BE72" s="369" t="s">
        <v>447</v>
      </c>
      <c r="BF72" s="369" t="s">
        <v>448</v>
      </c>
      <c r="BG72" s="369" t="s">
        <v>337</v>
      </c>
      <c r="BH72" s="369">
        <v>-1</v>
      </c>
      <c r="BI72" s="369">
        <v>-1</v>
      </c>
      <c r="BJ72" s="369">
        <v>-1</v>
      </c>
      <c r="BK72" s="369">
        <v>-1</v>
      </c>
      <c r="BL72" s="369">
        <v>-1</v>
      </c>
      <c r="BM72" s="369">
        <v>-1</v>
      </c>
      <c r="BO72" t="s">
        <v>463</v>
      </c>
      <c r="BZ72" t="s">
        <v>463</v>
      </c>
      <c r="CK72" t="s">
        <v>463</v>
      </c>
      <c r="CV72" t="s">
        <v>463</v>
      </c>
      <c r="DG72" t="s">
        <v>463</v>
      </c>
      <c r="DR72" t="s">
        <v>463</v>
      </c>
      <c r="EC72" t="s">
        <v>463</v>
      </c>
    </row>
    <row r="73" spans="1:133" x14ac:dyDescent="0.25">
      <c r="A73" t="s">
        <v>464</v>
      </c>
      <c r="L73" t="s">
        <v>464</v>
      </c>
      <c r="W73" t="s">
        <v>464</v>
      </c>
      <c r="AH73" t="s">
        <v>464</v>
      </c>
      <c r="AS73" t="s">
        <v>464</v>
      </c>
      <c r="BD73" t="s">
        <v>464</v>
      </c>
      <c r="BE73" s="369" t="s">
        <v>447</v>
      </c>
      <c r="BF73" s="369" t="s">
        <v>448</v>
      </c>
      <c r="BG73" s="369" t="s">
        <v>337</v>
      </c>
      <c r="BH73" s="369">
        <v>-1</v>
      </c>
      <c r="BI73" s="369">
        <v>-1</v>
      </c>
      <c r="BJ73" s="369">
        <v>-1</v>
      </c>
      <c r="BK73" s="369">
        <v>-1</v>
      </c>
      <c r="BL73" s="369">
        <v>-1</v>
      </c>
      <c r="BM73" s="369">
        <v>-1</v>
      </c>
      <c r="BO73" t="s">
        <v>464</v>
      </c>
      <c r="BZ73" t="s">
        <v>464</v>
      </c>
      <c r="CK73" t="s">
        <v>464</v>
      </c>
      <c r="CV73" t="s">
        <v>464</v>
      </c>
      <c r="DG73" t="s">
        <v>464</v>
      </c>
      <c r="DR73" t="s">
        <v>464</v>
      </c>
      <c r="EC73" t="s">
        <v>464</v>
      </c>
    </row>
    <row r="74" spans="1:133" x14ac:dyDescent="0.25">
      <c r="A74" t="s">
        <v>465</v>
      </c>
      <c r="L74" t="s">
        <v>465</v>
      </c>
      <c r="W74" t="s">
        <v>465</v>
      </c>
      <c r="AH74" t="s">
        <v>465</v>
      </c>
      <c r="AS74" t="s">
        <v>465</v>
      </c>
      <c r="BD74" t="s">
        <v>465</v>
      </c>
      <c r="BE74" s="369" t="s">
        <v>447</v>
      </c>
      <c r="BF74" s="369" t="s">
        <v>448</v>
      </c>
      <c r="BG74" s="369" t="s">
        <v>337</v>
      </c>
      <c r="BH74" s="369">
        <v>-1</v>
      </c>
      <c r="BI74" s="369">
        <v>-1</v>
      </c>
      <c r="BJ74" s="369">
        <v>-1</v>
      </c>
      <c r="BK74" s="369">
        <v>-1</v>
      </c>
      <c r="BL74" s="369">
        <v>-1</v>
      </c>
      <c r="BM74" s="369">
        <v>-1</v>
      </c>
      <c r="BO74" t="s">
        <v>465</v>
      </c>
      <c r="BZ74" t="s">
        <v>465</v>
      </c>
      <c r="CK74" t="s">
        <v>465</v>
      </c>
      <c r="CV74" t="s">
        <v>465</v>
      </c>
      <c r="DG74" t="s">
        <v>465</v>
      </c>
      <c r="DR74" t="s">
        <v>465</v>
      </c>
      <c r="EC74" t="s">
        <v>465</v>
      </c>
    </row>
    <row r="75" spans="1:133" x14ac:dyDescent="0.25">
      <c r="A75" t="s">
        <v>466</v>
      </c>
      <c r="L75" t="s">
        <v>466</v>
      </c>
      <c r="W75" t="s">
        <v>466</v>
      </c>
      <c r="AH75" t="s">
        <v>466</v>
      </c>
      <c r="AS75" t="s">
        <v>466</v>
      </c>
      <c r="BD75" t="s">
        <v>466</v>
      </c>
      <c r="BE75" s="369" t="s">
        <v>447</v>
      </c>
      <c r="BF75" s="369" t="s">
        <v>448</v>
      </c>
      <c r="BG75" s="369" t="s">
        <v>337</v>
      </c>
      <c r="BH75" s="369">
        <v>-1</v>
      </c>
      <c r="BI75" s="369">
        <v>-1</v>
      </c>
      <c r="BJ75" s="369">
        <v>-1</v>
      </c>
      <c r="BK75" s="369">
        <v>-1</v>
      </c>
      <c r="BL75" s="369">
        <v>-1</v>
      </c>
      <c r="BM75" s="369">
        <v>-1</v>
      </c>
      <c r="BO75" t="s">
        <v>466</v>
      </c>
      <c r="BZ75" t="s">
        <v>466</v>
      </c>
      <c r="CK75" t="s">
        <v>466</v>
      </c>
      <c r="CV75" t="s">
        <v>466</v>
      </c>
      <c r="DG75" t="s">
        <v>466</v>
      </c>
      <c r="DR75" t="s">
        <v>466</v>
      </c>
      <c r="EC75" t="s">
        <v>466</v>
      </c>
    </row>
    <row r="76" spans="1:133" x14ac:dyDescent="0.25">
      <c r="A76" t="s">
        <v>467</v>
      </c>
      <c r="L76" t="s">
        <v>467</v>
      </c>
      <c r="W76" t="s">
        <v>467</v>
      </c>
      <c r="AH76" t="s">
        <v>467</v>
      </c>
      <c r="AS76" t="s">
        <v>467</v>
      </c>
      <c r="BD76" t="s">
        <v>467</v>
      </c>
      <c r="BE76" s="369" t="s">
        <v>447</v>
      </c>
      <c r="BF76" s="369" t="s">
        <v>448</v>
      </c>
      <c r="BG76" s="369" t="s">
        <v>337</v>
      </c>
      <c r="BH76" s="369">
        <v>-1</v>
      </c>
      <c r="BI76" s="369">
        <v>-1</v>
      </c>
      <c r="BJ76" s="369">
        <v>-1</v>
      </c>
      <c r="BK76" s="369">
        <v>-1</v>
      </c>
      <c r="BL76" s="369">
        <v>-1</v>
      </c>
      <c r="BM76" s="369">
        <v>-1</v>
      </c>
      <c r="BO76" t="s">
        <v>467</v>
      </c>
      <c r="BZ76" t="s">
        <v>467</v>
      </c>
      <c r="CK76" t="s">
        <v>467</v>
      </c>
      <c r="CV76" t="s">
        <v>467</v>
      </c>
      <c r="DG76" t="s">
        <v>467</v>
      </c>
      <c r="DR76" t="s">
        <v>467</v>
      </c>
      <c r="EC76" t="s">
        <v>467</v>
      </c>
    </row>
    <row r="77" spans="1:133" x14ac:dyDescent="0.25">
      <c r="A77" s="367" t="s">
        <v>468</v>
      </c>
      <c r="L77" s="367" t="s">
        <v>468</v>
      </c>
      <c r="W77" s="367" t="s">
        <v>468</v>
      </c>
      <c r="AH77" s="367" t="s">
        <v>468</v>
      </c>
      <c r="AS77" s="367" t="s">
        <v>468</v>
      </c>
      <c r="BD77" s="367" t="s">
        <v>468</v>
      </c>
      <c r="BE77" s="369" t="s">
        <v>447</v>
      </c>
      <c r="BF77" s="369" t="s">
        <v>448</v>
      </c>
      <c r="BG77" s="369" t="s">
        <v>337</v>
      </c>
      <c r="BH77" s="369">
        <v>-1</v>
      </c>
      <c r="BI77" s="369">
        <v>-1</v>
      </c>
      <c r="BJ77" s="369">
        <v>-1</v>
      </c>
      <c r="BK77" s="369">
        <v>-1</v>
      </c>
      <c r="BL77" s="369">
        <v>-1</v>
      </c>
      <c r="BM77" s="369">
        <v>-1</v>
      </c>
      <c r="BO77" s="367" t="s">
        <v>468</v>
      </c>
      <c r="BZ77" s="367" t="s">
        <v>468</v>
      </c>
      <c r="CK77" s="367" t="s">
        <v>468</v>
      </c>
      <c r="CV77" s="367" t="s">
        <v>468</v>
      </c>
      <c r="DG77" s="367" t="s">
        <v>468</v>
      </c>
      <c r="DR77" s="367" t="s">
        <v>468</v>
      </c>
      <c r="EC77" s="367" t="s">
        <v>468</v>
      </c>
    </row>
    <row r="78" spans="1:133" x14ac:dyDescent="0.25">
      <c r="A78" s="367" t="s">
        <v>469</v>
      </c>
      <c r="L78" s="367" t="s">
        <v>469</v>
      </c>
      <c r="W78" s="367" t="s">
        <v>469</v>
      </c>
      <c r="AH78" s="367" t="s">
        <v>469</v>
      </c>
      <c r="AS78" s="367" t="s">
        <v>469</v>
      </c>
      <c r="BD78" s="367" t="s">
        <v>469</v>
      </c>
      <c r="BE78" s="369" t="s">
        <v>447</v>
      </c>
      <c r="BF78" s="369" t="s">
        <v>448</v>
      </c>
      <c r="BG78" s="369" t="s">
        <v>337</v>
      </c>
      <c r="BH78" s="369">
        <v>-1</v>
      </c>
      <c r="BI78" s="369">
        <v>-1</v>
      </c>
      <c r="BJ78" s="369">
        <v>-1</v>
      </c>
      <c r="BK78" s="369">
        <v>-1</v>
      </c>
      <c r="BL78" s="369">
        <v>-1</v>
      </c>
      <c r="BM78" s="369">
        <v>-1</v>
      </c>
      <c r="BO78" s="367" t="s">
        <v>469</v>
      </c>
      <c r="BZ78" s="367" t="s">
        <v>469</v>
      </c>
      <c r="CK78" s="367" t="s">
        <v>469</v>
      </c>
      <c r="CV78" s="367" t="s">
        <v>469</v>
      </c>
      <c r="DG78" s="367" t="s">
        <v>469</v>
      </c>
      <c r="DR78" s="367" t="s">
        <v>469</v>
      </c>
      <c r="EC78" s="367" t="s">
        <v>469</v>
      </c>
    </row>
    <row r="79" spans="1:133" x14ac:dyDescent="0.25">
      <c r="A79" t="s">
        <v>470</v>
      </c>
      <c r="L79" t="s">
        <v>470</v>
      </c>
      <c r="W79" t="s">
        <v>470</v>
      </c>
      <c r="AH79" t="s">
        <v>470</v>
      </c>
      <c r="AS79" t="s">
        <v>470</v>
      </c>
      <c r="BD79" t="s">
        <v>470</v>
      </c>
      <c r="BE79" s="370" t="s">
        <v>447</v>
      </c>
      <c r="BF79" s="370" t="s">
        <v>448</v>
      </c>
      <c r="BG79" s="370" t="s">
        <v>337</v>
      </c>
      <c r="BH79" s="370">
        <v>2718</v>
      </c>
      <c r="BI79" s="370">
        <v>-1</v>
      </c>
      <c r="BJ79" s="370">
        <v>-1</v>
      </c>
      <c r="BK79" s="370">
        <v>1183648</v>
      </c>
      <c r="BL79" s="370">
        <v>-1</v>
      </c>
      <c r="BM79" s="370">
        <v>1</v>
      </c>
      <c r="BO79" t="s">
        <v>470</v>
      </c>
      <c r="BZ79" t="s">
        <v>470</v>
      </c>
      <c r="CK79" t="s">
        <v>470</v>
      </c>
      <c r="CV79" t="s">
        <v>470</v>
      </c>
      <c r="DG79" t="s">
        <v>470</v>
      </c>
      <c r="DR79" t="s">
        <v>470</v>
      </c>
      <c r="EC79" t="s">
        <v>470</v>
      </c>
    </row>
    <row r="80" spans="1:133" x14ac:dyDescent="0.25">
      <c r="A80" t="s">
        <v>471</v>
      </c>
      <c r="L80" t="s">
        <v>471</v>
      </c>
      <c r="W80" t="s">
        <v>471</v>
      </c>
      <c r="AH80" t="s">
        <v>471</v>
      </c>
      <c r="AS80" t="s">
        <v>471</v>
      </c>
      <c r="BD80" t="s">
        <v>471</v>
      </c>
      <c r="BE80" s="370" t="s">
        <v>447</v>
      </c>
      <c r="BF80" s="370" t="s">
        <v>448</v>
      </c>
      <c r="BG80" s="370" t="s">
        <v>337</v>
      </c>
      <c r="BH80" s="370">
        <v>587</v>
      </c>
      <c r="BI80" s="370">
        <v>-1</v>
      </c>
      <c r="BJ80" s="370">
        <v>-1</v>
      </c>
      <c r="BK80" s="370">
        <v>196893</v>
      </c>
      <c r="BL80" s="370">
        <v>-1</v>
      </c>
      <c r="BM80" s="370">
        <v>0.99939999999999996</v>
      </c>
      <c r="BO80" t="s">
        <v>471</v>
      </c>
      <c r="BZ80" t="s">
        <v>471</v>
      </c>
      <c r="CK80" t="s">
        <v>471</v>
      </c>
      <c r="CV80" t="s">
        <v>471</v>
      </c>
      <c r="DG80" t="s">
        <v>471</v>
      </c>
      <c r="DR80" t="s">
        <v>471</v>
      </c>
      <c r="EC80" t="s">
        <v>471</v>
      </c>
    </row>
    <row r="81" spans="1:133" x14ac:dyDescent="0.25">
      <c r="A81" t="s">
        <v>472</v>
      </c>
      <c r="L81" t="s">
        <v>472</v>
      </c>
      <c r="W81" t="s">
        <v>472</v>
      </c>
      <c r="AH81" t="s">
        <v>472</v>
      </c>
      <c r="AS81" t="s">
        <v>472</v>
      </c>
      <c r="BD81" t="s">
        <v>472</v>
      </c>
      <c r="BE81" s="370" t="s">
        <v>447</v>
      </c>
      <c r="BF81" s="370" t="s">
        <v>448</v>
      </c>
      <c r="BG81" s="370" t="s">
        <v>337</v>
      </c>
      <c r="BH81" s="370">
        <v>153</v>
      </c>
      <c r="BI81" s="370">
        <v>-1</v>
      </c>
      <c r="BJ81" s="370">
        <v>-1</v>
      </c>
      <c r="BK81" s="370">
        <v>172088</v>
      </c>
      <c r="BL81" s="370">
        <v>-1</v>
      </c>
      <c r="BM81" s="370">
        <v>0.99639999999999995</v>
      </c>
      <c r="BO81" t="s">
        <v>472</v>
      </c>
      <c r="BZ81" t="s">
        <v>472</v>
      </c>
      <c r="CK81" t="s">
        <v>472</v>
      </c>
      <c r="CV81" t="s">
        <v>472</v>
      </c>
      <c r="DG81" t="s">
        <v>472</v>
      </c>
      <c r="DR81" t="s">
        <v>472</v>
      </c>
      <c r="EC81" t="s">
        <v>472</v>
      </c>
    </row>
    <row r="82" spans="1:133" x14ac:dyDescent="0.25">
      <c r="A82" s="367" t="s">
        <v>473</v>
      </c>
      <c r="L82" s="367" t="s">
        <v>473</v>
      </c>
      <c r="W82" s="367" t="s">
        <v>473</v>
      </c>
      <c r="AH82" s="367" t="s">
        <v>473</v>
      </c>
      <c r="AS82" s="367" t="s">
        <v>473</v>
      </c>
      <c r="BD82" s="367" t="s">
        <v>473</v>
      </c>
      <c r="BE82" s="368" t="s">
        <v>447</v>
      </c>
      <c r="BF82" s="368" t="s">
        <v>448</v>
      </c>
      <c r="BG82" s="368" t="s">
        <v>337</v>
      </c>
      <c r="BH82" s="368">
        <v>7801.3666990000002</v>
      </c>
      <c r="BI82" s="368">
        <v>3631.574991</v>
      </c>
      <c r="BJ82" s="368">
        <v>5719.3559340000002</v>
      </c>
      <c r="BK82" s="368">
        <v>4255200.815161</v>
      </c>
      <c r="BL82" s="368">
        <v>418878.60376299999</v>
      </c>
      <c r="BM82" s="368">
        <v>0.996147</v>
      </c>
      <c r="BO82" s="367" t="s">
        <v>473</v>
      </c>
      <c r="BZ82" s="367" t="s">
        <v>473</v>
      </c>
      <c r="CK82" s="367" t="s">
        <v>473</v>
      </c>
      <c r="CV82" s="367" t="s">
        <v>473</v>
      </c>
      <c r="DG82" s="367" t="s">
        <v>473</v>
      </c>
      <c r="DR82" s="367" t="s">
        <v>473</v>
      </c>
      <c r="EC82" s="367" t="s">
        <v>473</v>
      </c>
    </row>
  </sheetData>
  <mergeCells count="13">
    <mergeCell ref="BD1:BM1"/>
    <mergeCell ref="A1:J1"/>
    <mergeCell ref="L1:U1"/>
    <mergeCell ref="W1:AF1"/>
    <mergeCell ref="AH1:AQ1"/>
    <mergeCell ref="AS1:BB1"/>
    <mergeCell ref="EC1:EL1"/>
    <mergeCell ref="BO1:BX1"/>
    <mergeCell ref="BZ1:CI1"/>
    <mergeCell ref="CK1:CT1"/>
    <mergeCell ref="CV1:DE1"/>
    <mergeCell ref="DG1:DP1"/>
    <mergeCell ref="DR1:EA1"/>
  </mergeCells>
  <pageMargins left="0.7" right="0.7" top="0.75" bottom="0.75" header="0.3" footer="0.3"/>
  <pageSetup paperSize="9" orientation="portrait" r:id="rId1"/>
  <tableParts count="13">
    <tablePart r:id="rId2"/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tabColor rgb="FFFF6600"/>
  </sheetPr>
  <dimension ref="A1:EL32"/>
  <sheetViews>
    <sheetView zoomScale="80" zoomScaleNormal="80" workbookViewId="0">
      <selection activeCell="BJ19" sqref="BJ19"/>
    </sheetView>
  </sheetViews>
  <sheetFormatPr baseColWidth="10" defaultRowHeight="13.2" x14ac:dyDescent="0.25"/>
  <cols>
    <col min="5" max="5" width="19" customWidth="1"/>
    <col min="6" max="6" width="18.5546875" customWidth="1"/>
    <col min="7" max="7" width="23.6640625" customWidth="1"/>
    <col min="8" max="8" width="14.88671875" customWidth="1"/>
    <col min="9" max="9" width="18.44140625" customWidth="1"/>
    <col min="16" max="16" width="20.109375" customWidth="1"/>
    <col min="17" max="17" width="19.5546875" customWidth="1"/>
    <col min="18" max="18" width="25" customWidth="1"/>
    <col min="19" max="19" width="15.33203125" customWidth="1"/>
    <col min="20" max="20" width="18.88671875" customWidth="1"/>
    <col min="27" max="27" width="20.109375" customWidth="1"/>
    <col min="28" max="28" width="19.5546875" customWidth="1"/>
    <col min="29" max="29" width="25" customWidth="1"/>
    <col min="30" max="30" width="15.33203125" customWidth="1"/>
    <col min="31" max="31" width="18.88671875" customWidth="1"/>
    <col min="38" max="38" width="20.109375" customWidth="1"/>
    <col min="39" max="39" width="19.5546875" customWidth="1"/>
    <col min="40" max="40" width="25" customWidth="1"/>
    <col min="41" max="41" width="15.33203125" customWidth="1"/>
    <col min="42" max="42" width="18.88671875" customWidth="1"/>
    <col min="49" max="49" width="20.109375" customWidth="1"/>
    <col min="50" max="50" width="19.5546875" customWidth="1"/>
    <col min="51" max="51" width="25" customWidth="1"/>
    <col min="52" max="52" width="15.33203125" customWidth="1"/>
    <col min="53" max="53" width="18.88671875" customWidth="1"/>
    <col min="60" max="60" width="19.77734375" customWidth="1"/>
    <col min="61" max="61" width="19.33203125" customWidth="1"/>
    <col min="62" max="62" width="24.6640625" customWidth="1"/>
    <col min="63" max="63" width="15.44140625" customWidth="1"/>
    <col min="64" max="64" width="19.21875" customWidth="1"/>
    <col min="71" max="71" width="20.109375" customWidth="1"/>
    <col min="72" max="72" width="19.5546875" customWidth="1"/>
    <col min="73" max="73" width="25" customWidth="1"/>
    <col min="74" max="74" width="15.33203125" customWidth="1"/>
    <col min="75" max="75" width="18.88671875" customWidth="1"/>
    <col min="82" max="82" width="20.109375" customWidth="1"/>
    <col min="83" max="83" width="19.5546875" customWidth="1"/>
    <col min="84" max="84" width="25" customWidth="1"/>
    <col min="85" max="85" width="15.33203125" customWidth="1"/>
    <col min="86" max="86" width="18.88671875" customWidth="1"/>
    <col min="93" max="93" width="20.109375" customWidth="1"/>
    <col min="94" max="94" width="19.5546875" customWidth="1"/>
    <col min="95" max="95" width="25" customWidth="1"/>
    <col min="96" max="96" width="15.33203125" customWidth="1"/>
    <col min="97" max="97" width="18.88671875" customWidth="1"/>
    <col min="104" max="104" width="20.109375" customWidth="1"/>
    <col min="105" max="105" width="19.5546875" customWidth="1"/>
    <col min="106" max="106" width="25" customWidth="1"/>
    <col min="107" max="107" width="15.33203125" customWidth="1"/>
    <col min="108" max="108" width="18.88671875" customWidth="1"/>
    <col min="115" max="115" width="20.109375" customWidth="1"/>
    <col min="116" max="116" width="19.5546875" customWidth="1"/>
    <col min="117" max="117" width="25" customWidth="1"/>
    <col min="118" max="118" width="15.33203125" customWidth="1"/>
    <col min="119" max="119" width="18.88671875" customWidth="1"/>
    <col min="126" max="126" width="20.109375" customWidth="1"/>
    <col min="127" max="127" width="19.5546875" customWidth="1"/>
    <col min="128" max="128" width="25" customWidth="1"/>
    <col min="129" max="129" width="15.33203125" customWidth="1"/>
    <col min="130" max="130" width="18.88671875" customWidth="1"/>
    <col min="137" max="137" width="20.109375" customWidth="1"/>
    <col min="138" max="138" width="19.5546875" customWidth="1"/>
    <col min="139" max="139" width="25" customWidth="1"/>
    <col min="140" max="140" width="15.33203125" customWidth="1"/>
    <col min="141" max="141" width="18.88671875" customWidth="1"/>
  </cols>
  <sheetData>
    <row r="1" spans="1:142" ht="21" x14ac:dyDescent="0.4">
      <c r="A1" s="399">
        <v>44531</v>
      </c>
      <c r="B1" s="400"/>
      <c r="C1" s="400"/>
      <c r="D1" s="400"/>
      <c r="E1" s="400"/>
      <c r="F1" s="400"/>
      <c r="G1" s="400"/>
      <c r="H1" s="400"/>
      <c r="I1" s="400"/>
      <c r="J1" s="400"/>
      <c r="L1" s="399">
        <v>44562</v>
      </c>
      <c r="M1" s="400"/>
      <c r="N1" s="400"/>
      <c r="O1" s="400"/>
      <c r="P1" s="400"/>
      <c r="Q1" s="400"/>
      <c r="R1" s="400"/>
      <c r="S1" s="400"/>
      <c r="T1" s="400"/>
      <c r="U1" s="400"/>
      <c r="W1" s="399">
        <v>44593</v>
      </c>
      <c r="X1" s="400"/>
      <c r="Y1" s="400"/>
      <c r="Z1" s="400"/>
      <c r="AA1" s="400"/>
      <c r="AB1" s="400"/>
      <c r="AC1" s="400"/>
      <c r="AD1" s="400"/>
      <c r="AE1" s="400"/>
      <c r="AF1" s="400"/>
      <c r="AH1" s="399">
        <v>44621</v>
      </c>
      <c r="AI1" s="400"/>
      <c r="AJ1" s="400"/>
      <c r="AK1" s="400"/>
      <c r="AL1" s="400"/>
      <c r="AM1" s="400"/>
      <c r="AN1" s="400"/>
      <c r="AO1" s="400"/>
      <c r="AP1" s="400"/>
      <c r="AQ1" s="400"/>
      <c r="AS1" s="399">
        <v>44652</v>
      </c>
      <c r="AT1" s="400"/>
      <c r="AU1" s="400"/>
      <c r="AV1" s="400"/>
      <c r="AW1" s="400"/>
      <c r="AX1" s="400"/>
      <c r="AY1" s="400"/>
      <c r="AZ1" s="400"/>
      <c r="BA1" s="400"/>
      <c r="BB1" s="400"/>
      <c r="BD1" s="399">
        <v>44682</v>
      </c>
      <c r="BE1" s="400"/>
      <c r="BF1" s="400"/>
      <c r="BG1" s="400"/>
      <c r="BH1" s="400"/>
      <c r="BI1" s="400"/>
      <c r="BJ1" s="400"/>
      <c r="BK1" s="400"/>
      <c r="BL1" s="400"/>
      <c r="BM1" s="400"/>
      <c r="BO1" s="399">
        <v>44713</v>
      </c>
      <c r="BP1" s="400"/>
      <c r="BQ1" s="400"/>
      <c r="BR1" s="400"/>
      <c r="BS1" s="400"/>
      <c r="BT1" s="400"/>
      <c r="BU1" s="400"/>
      <c r="BV1" s="400"/>
      <c r="BW1" s="400"/>
      <c r="BX1" s="400"/>
      <c r="BZ1" s="399">
        <v>44743</v>
      </c>
      <c r="CA1" s="400"/>
      <c r="CB1" s="400"/>
      <c r="CC1" s="400"/>
      <c r="CD1" s="400"/>
      <c r="CE1" s="400"/>
      <c r="CF1" s="400"/>
      <c r="CG1" s="400"/>
      <c r="CH1" s="400"/>
      <c r="CI1" s="400"/>
      <c r="CK1" s="399">
        <v>44774</v>
      </c>
      <c r="CL1" s="400"/>
      <c r="CM1" s="400"/>
      <c r="CN1" s="400"/>
      <c r="CO1" s="400"/>
      <c r="CP1" s="400"/>
      <c r="CQ1" s="400"/>
      <c r="CR1" s="400"/>
      <c r="CS1" s="400"/>
      <c r="CT1" s="400"/>
      <c r="CV1" s="399">
        <v>44805</v>
      </c>
      <c r="CW1" s="400"/>
      <c r="CX1" s="400"/>
      <c r="CY1" s="400"/>
      <c r="CZ1" s="400"/>
      <c r="DA1" s="400"/>
      <c r="DB1" s="400"/>
      <c r="DC1" s="400"/>
      <c r="DD1" s="400"/>
      <c r="DE1" s="400"/>
      <c r="DG1" s="399">
        <v>44835</v>
      </c>
      <c r="DH1" s="400"/>
      <c r="DI1" s="400"/>
      <c r="DJ1" s="400"/>
      <c r="DK1" s="400"/>
      <c r="DL1" s="400"/>
      <c r="DM1" s="400"/>
      <c r="DN1" s="400"/>
      <c r="DO1" s="400"/>
      <c r="DP1" s="400"/>
      <c r="DR1" s="399">
        <v>44866</v>
      </c>
      <c r="DS1" s="400"/>
      <c r="DT1" s="400"/>
      <c r="DU1" s="400"/>
      <c r="DV1" s="400"/>
      <c r="DW1" s="400"/>
      <c r="DX1" s="400"/>
      <c r="DY1" s="400"/>
      <c r="DZ1" s="400"/>
      <c r="EA1" s="400"/>
      <c r="EC1" s="399">
        <v>44896</v>
      </c>
      <c r="ED1" s="400"/>
      <c r="EE1" s="400"/>
      <c r="EF1" s="400"/>
      <c r="EG1" s="400"/>
      <c r="EH1" s="400"/>
      <c r="EI1" s="400"/>
      <c r="EJ1" s="400"/>
      <c r="EK1" s="400"/>
      <c r="EL1" s="400"/>
    </row>
    <row r="2" spans="1:142" ht="39.6" x14ac:dyDescent="0.25">
      <c r="A2" s="373" t="s">
        <v>437</v>
      </c>
      <c r="B2" s="373" t="s">
        <v>438</v>
      </c>
      <c r="C2" s="373" t="s">
        <v>439</v>
      </c>
      <c r="D2" s="373" t="s">
        <v>440</v>
      </c>
      <c r="E2" s="373" t="s">
        <v>441</v>
      </c>
      <c r="F2" s="373" t="s">
        <v>442</v>
      </c>
      <c r="G2" s="373" t="s">
        <v>443</v>
      </c>
      <c r="H2" s="373" t="s">
        <v>444</v>
      </c>
      <c r="I2" s="373" t="s">
        <v>445</v>
      </c>
      <c r="J2" s="374" t="s">
        <v>446</v>
      </c>
      <c r="L2" s="373" t="s">
        <v>437</v>
      </c>
      <c r="M2" s="373" t="s">
        <v>438</v>
      </c>
      <c r="N2" s="373" t="s">
        <v>439</v>
      </c>
      <c r="O2" s="373" t="s">
        <v>440</v>
      </c>
      <c r="P2" s="373" t="s">
        <v>441</v>
      </c>
      <c r="Q2" s="373" t="s">
        <v>442</v>
      </c>
      <c r="R2" s="373" t="s">
        <v>443</v>
      </c>
      <c r="S2" s="373" t="s">
        <v>444</v>
      </c>
      <c r="T2" s="373" t="s">
        <v>445</v>
      </c>
      <c r="U2" s="374" t="s">
        <v>446</v>
      </c>
      <c r="W2" s="373" t="s">
        <v>437</v>
      </c>
      <c r="X2" s="373" t="s">
        <v>438</v>
      </c>
      <c r="Y2" s="373" t="s">
        <v>439</v>
      </c>
      <c r="Z2" s="373" t="s">
        <v>440</v>
      </c>
      <c r="AA2" s="373" t="s">
        <v>441</v>
      </c>
      <c r="AB2" s="373" t="s">
        <v>442</v>
      </c>
      <c r="AC2" s="373" t="s">
        <v>443</v>
      </c>
      <c r="AD2" s="373" t="s">
        <v>444</v>
      </c>
      <c r="AE2" s="373" t="s">
        <v>445</v>
      </c>
      <c r="AF2" s="374" t="s">
        <v>446</v>
      </c>
      <c r="AH2" s="373" t="s">
        <v>437</v>
      </c>
      <c r="AI2" s="373" t="s">
        <v>438</v>
      </c>
      <c r="AJ2" s="373" t="s">
        <v>439</v>
      </c>
      <c r="AK2" s="373" t="s">
        <v>440</v>
      </c>
      <c r="AL2" s="373" t="s">
        <v>441</v>
      </c>
      <c r="AM2" s="373" t="s">
        <v>442</v>
      </c>
      <c r="AN2" s="373" t="s">
        <v>443</v>
      </c>
      <c r="AO2" s="373" t="s">
        <v>444</v>
      </c>
      <c r="AP2" s="373" t="s">
        <v>445</v>
      </c>
      <c r="AQ2" s="374" t="s">
        <v>446</v>
      </c>
      <c r="AS2" s="378" t="s">
        <v>437</v>
      </c>
      <c r="AT2" s="378" t="s">
        <v>438</v>
      </c>
      <c r="AU2" s="378" t="s">
        <v>439</v>
      </c>
      <c r="AV2" s="378" t="s">
        <v>440</v>
      </c>
      <c r="AW2" s="378" t="s">
        <v>441</v>
      </c>
      <c r="AX2" s="378" t="s">
        <v>442</v>
      </c>
      <c r="AY2" s="378" t="s">
        <v>443</v>
      </c>
      <c r="AZ2" s="378" t="s">
        <v>444</v>
      </c>
      <c r="BA2" s="378" t="s">
        <v>445</v>
      </c>
      <c r="BB2" s="379" t="s">
        <v>446</v>
      </c>
      <c r="BD2" s="373" t="s">
        <v>437</v>
      </c>
      <c r="BE2" s="373" t="s">
        <v>438</v>
      </c>
      <c r="BF2" s="373" t="s">
        <v>439</v>
      </c>
      <c r="BG2" s="373" t="s">
        <v>440</v>
      </c>
      <c r="BH2" s="373" t="s">
        <v>441</v>
      </c>
      <c r="BI2" s="373" t="s">
        <v>442</v>
      </c>
      <c r="BJ2" s="373" t="s">
        <v>443</v>
      </c>
      <c r="BK2" s="373" t="s">
        <v>444</v>
      </c>
      <c r="BL2" s="373" t="s">
        <v>445</v>
      </c>
      <c r="BM2" s="374" t="s">
        <v>446</v>
      </c>
      <c r="BO2" s="373" t="s">
        <v>437</v>
      </c>
      <c r="BP2" s="373" t="s">
        <v>438</v>
      </c>
      <c r="BQ2" s="373" t="s">
        <v>439</v>
      </c>
      <c r="BR2" s="373" t="s">
        <v>440</v>
      </c>
      <c r="BS2" s="373" t="s">
        <v>441</v>
      </c>
      <c r="BT2" s="373" t="s">
        <v>442</v>
      </c>
      <c r="BU2" s="373" t="s">
        <v>443</v>
      </c>
      <c r="BV2" s="373" t="s">
        <v>444</v>
      </c>
      <c r="BW2" s="373" t="s">
        <v>445</v>
      </c>
      <c r="BX2" s="374" t="s">
        <v>446</v>
      </c>
      <c r="BZ2" s="373" t="s">
        <v>437</v>
      </c>
      <c r="CA2" s="373" t="s">
        <v>438</v>
      </c>
      <c r="CB2" s="373" t="s">
        <v>439</v>
      </c>
      <c r="CC2" s="373" t="s">
        <v>440</v>
      </c>
      <c r="CD2" s="373" t="s">
        <v>441</v>
      </c>
      <c r="CE2" s="373" t="s">
        <v>442</v>
      </c>
      <c r="CF2" s="373" t="s">
        <v>443</v>
      </c>
      <c r="CG2" s="373" t="s">
        <v>444</v>
      </c>
      <c r="CH2" s="373" t="s">
        <v>445</v>
      </c>
      <c r="CI2" s="374" t="s">
        <v>446</v>
      </c>
      <c r="CK2" s="373" t="s">
        <v>437</v>
      </c>
      <c r="CL2" s="373" t="s">
        <v>438</v>
      </c>
      <c r="CM2" s="373" t="s">
        <v>439</v>
      </c>
      <c r="CN2" s="373" t="s">
        <v>440</v>
      </c>
      <c r="CO2" s="373" t="s">
        <v>441</v>
      </c>
      <c r="CP2" s="373" t="s">
        <v>442</v>
      </c>
      <c r="CQ2" s="373" t="s">
        <v>443</v>
      </c>
      <c r="CR2" s="373" t="s">
        <v>444</v>
      </c>
      <c r="CS2" s="373" t="s">
        <v>445</v>
      </c>
      <c r="CT2" s="374" t="s">
        <v>446</v>
      </c>
      <c r="CV2" s="373" t="s">
        <v>437</v>
      </c>
      <c r="CW2" s="373" t="s">
        <v>438</v>
      </c>
      <c r="CX2" s="373" t="s">
        <v>439</v>
      </c>
      <c r="CY2" s="373" t="s">
        <v>440</v>
      </c>
      <c r="CZ2" s="373" t="s">
        <v>441</v>
      </c>
      <c r="DA2" s="373" t="s">
        <v>442</v>
      </c>
      <c r="DB2" s="373" t="s">
        <v>443</v>
      </c>
      <c r="DC2" s="373" t="s">
        <v>444</v>
      </c>
      <c r="DD2" s="373" t="s">
        <v>445</v>
      </c>
      <c r="DE2" s="374" t="s">
        <v>446</v>
      </c>
      <c r="DG2" s="373" t="s">
        <v>437</v>
      </c>
      <c r="DH2" s="373" t="s">
        <v>438</v>
      </c>
      <c r="DI2" s="373" t="s">
        <v>439</v>
      </c>
      <c r="DJ2" s="373" t="s">
        <v>440</v>
      </c>
      <c r="DK2" s="373" t="s">
        <v>441</v>
      </c>
      <c r="DL2" s="373" t="s">
        <v>442</v>
      </c>
      <c r="DM2" s="373" t="s">
        <v>443</v>
      </c>
      <c r="DN2" s="373" t="s">
        <v>444</v>
      </c>
      <c r="DO2" s="373" t="s">
        <v>445</v>
      </c>
      <c r="DP2" s="374" t="s">
        <v>446</v>
      </c>
      <c r="DR2" s="373" t="s">
        <v>437</v>
      </c>
      <c r="DS2" s="373" t="s">
        <v>438</v>
      </c>
      <c r="DT2" s="373" t="s">
        <v>439</v>
      </c>
      <c r="DU2" s="373" t="s">
        <v>440</v>
      </c>
      <c r="DV2" s="373" t="s">
        <v>441</v>
      </c>
      <c r="DW2" s="373" t="s">
        <v>442</v>
      </c>
      <c r="DX2" s="373" t="s">
        <v>443</v>
      </c>
      <c r="DY2" s="373" t="s">
        <v>444</v>
      </c>
      <c r="DZ2" s="373" t="s">
        <v>445</v>
      </c>
      <c r="EA2" s="374" t="s">
        <v>446</v>
      </c>
      <c r="EC2" s="373" t="s">
        <v>437</v>
      </c>
      <c r="ED2" s="373" t="s">
        <v>438</v>
      </c>
      <c r="EE2" s="373" t="s">
        <v>439</v>
      </c>
      <c r="EF2" s="373" t="s">
        <v>440</v>
      </c>
      <c r="EG2" s="373" t="s">
        <v>441</v>
      </c>
      <c r="EH2" s="373" t="s">
        <v>442</v>
      </c>
      <c r="EI2" s="373" t="s">
        <v>443</v>
      </c>
      <c r="EJ2" s="373" t="s">
        <v>444</v>
      </c>
      <c r="EK2" s="373" t="s">
        <v>445</v>
      </c>
      <c r="EL2" s="374" t="s">
        <v>446</v>
      </c>
    </row>
    <row r="3" spans="1:142" x14ac:dyDescent="0.25">
      <c r="A3" t="s">
        <v>474</v>
      </c>
      <c r="L3" t="s">
        <v>474</v>
      </c>
      <c r="W3" t="s">
        <v>474</v>
      </c>
      <c r="AH3" t="s">
        <v>474</v>
      </c>
      <c r="AS3" t="s">
        <v>474</v>
      </c>
      <c r="BD3" s="134" t="s">
        <v>474</v>
      </c>
      <c r="BE3" s="368" t="s">
        <v>447</v>
      </c>
      <c r="BF3" s="368" t="s">
        <v>448</v>
      </c>
      <c r="BG3" s="368" t="s">
        <v>337</v>
      </c>
      <c r="BH3" s="368">
        <v>16357.833495999999</v>
      </c>
      <c r="BI3" s="368">
        <v>6485.0034169999999</v>
      </c>
      <c r="BJ3" s="368">
        <v>11186.122722</v>
      </c>
      <c r="BK3" s="368">
        <v>8322475.3054339997</v>
      </c>
      <c r="BL3" s="368">
        <v>1163797.308164</v>
      </c>
      <c r="BM3" s="368">
        <v>0.98474899999999999</v>
      </c>
      <c r="BO3" t="s">
        <v>474</v>
      </c>
      <c r="BZ3" t="s">
        <v>474</v>
      </c>
      <c r="CK3" t="s">
        <v>474</v>
      </c>
      <c r="CV3" t="s">
        <v>474</v>
      </c>
      <c r="DG3" t="s">
        <v>474</v>
      </c>
      <c r="DR3" t="s">
        <v>474</v>
      </c>
      <c r="EC3" t="s">
        <v>474</v>
      </c>
    </row>
    <row r="4" spans="1:142" x14ac:dyDescent="0.25">
      <c r="A4" t="s">
        <v>475</v>
      </c>
      <c r="L4" t="s">
        <v>475</v>
      </c>
      <c r="W4" t="s">
        <v>475</v>
      </c>
      <c r="AH4" t="s">
        <v>475</v>
      </c>
      <c r="AS4" t="s">
        <v>475</v>
      </c>
      <c r="BD4" t="s">
        <v>475</v>
      </c>
      <c r="BE4" s="368" t="s">
        <v>447</v>
      </c>
      <c r="BF4" s="368" t="s">
        <v>448</v>
      </c>
      <c r="BG4" s="368" t="s">
        <v>337</v>
      </c>
      <c r="BH4" s="368">
        <v>12387.799967000001</v>
      </c>
      <c r="BI4" s="368">
        <v>5313.2084139999997</v>
      </c>
      <c r="BJ4" s="368">
        <v>8547.2070750000003</v>
      </c>
      <c r="BK4" s="368">
        <v>6359122.0641799998</v>
      </c>
      <c r="BL4" s="368">
        <v>862055.19718300004</v>
      </c>
      <c r="BM4" s="368">
        <v>0.98839200000000005</v>
      </c>
      <c r="BO4" t="s">
        <v>475</v>
      </c>
      <c r="BZ4" t="s">
        <v>475</v>
      </c>
      <c r="CK4" t="s">
        <v>475</v>
      </c>
      <c r="CV4" t="s">
        <v>475</v>
      </c>
      <c r="DG4" t="s">
        <v>475</v>
      </c>
      <c r="DR4" t="s">
        <v>475</v>
      </c>
      <c r="EC4" t="s">
        <v>475</v>
      </c>
    </row>
    <row r="5" spans="1:142" x14ac:dyDescent="0.25">
      <c r="A5" t="s">
        <v>476</v>
      </c>
      <c r="L5" t="s">
        <v>476</v>
      </c>
      <c r="W5" t="s">
        <v>476</v>
      </c>
      <c r="AH5" t="s">
        <v>476</v>
      </c>
      <c r="AS5" t="s">
        <v>476</v>
      </c>
      <c r="BD5" t="s">
        <v>476</v>
      </c>
      <c r="BE5" s="368" t="s">
        <v>447</v>
      </c>
      <c r="BF5" s="368" t="s">
        <v>448</v>
      </c>
      <c r="BG5" s="368" t="s">
        <v>337</v>
      </c>
      <c r="BH5" s="368">
        <v>11873.933268000001</v>
      </c>
      <c r="BI5" s="368">
        <v>5373.0484210000004</v>
      </c>
      <c r="BJ5" s="368">
        <v>8151.212998</v>
      </c>
      <c r="BK5" s="368">
        <v>6064502.4711469999</v>
      </c>
      <c r="BL5" s="368">
        <v>1089970.237835</v>
      </c>
      <c r="BM5" s="368">
        <v>0.98656900000000003</v>
      </c>
      <c r="BO5" t="s">
        <v>476</v>
      </c>
      <c r="BZ5" t="s">
        <v>476</v>
      </c>
      <c r="CK5" t="s">
        <v>476</v>
      </c>
      <c r="CV5" t="s">
        <v>476</v>
      </c>
      <c r="DG5" t="s">
        <v>476</v>
      </c>
      <c r="DR5" t="s">
        <v>476</v>
      </c>
      <c r="EC5" t="s">
        <v>476</v>
      </c>
    </row>
    <row r="6" spans="1:142" x14ac:dyDescent="0.25">
      <c r="A6" t="s">
        <v>477</v>
      </c>
      <c r="L6" t="s">
        <v>477</v>
      </c>
      <c r="W6" t="s">
        <v>477</v>
      </c>
      <c r="AH6" t="s">
        <v>477</v>
      </c>
      <c r="AS6" t="s">
        <v>477</v>
      </c>
      <c r="BD6" t="s">
        <v>477</v>
      </c>
      <c r="BE6" s="368" t="s">
        <v>447</v>
      </c>
      <c r="BF6" s="368" t="s">
        <v>448</v>
      </c>
      <c r="BG6" s="368" t="s">
        <v>337</v>
      </c>
      <c r="BH6" s="368">
        <v>9781.9233390000009</v>
      </c>
      <c r="BI6" s="368">
        <v>4680.9615880000001</v>
      </c>
      <c r="BJ6" s="368">
        <v>6858.0458230000004</v>
      </c>
      <c r="BK6" s="368">
        <v>5102386.0927769998</v>
      </c>
      <c r="BL6" s="368">
        <v>-45500.112072000004</v>
      </c>
      <c r="BM6" s="368">
        <v>0.99443300000000001</v>
      </c>
      <c r="BO6" t="s">
        <v>477</v>
      </c>
      <c r="BZ6" t="s">
        <v>477</v>
      </c>
      <c r="CK6" t="s">
        <v>477</v>
      </c>
      <c r="CV6" t="s">
        <v>477</v>
      </c>
      <c r="DG6" t="s">
        <v>477</v>
      </c>
      <c r="DR6" t="s">
        <v>477</v>
      </c>
      <c r="EC6" t="s">
        <v>477</v>
      </c>
    </row>
    <row r="7" spans="1:142" x14ac:dyDescent="0.25">
      <c r="A7" t="s">
        <v>478</v>
      </c>
      <c r="L7" t="s">
        <v>478</v>
      </c>
      <c r="W7" t="s">
        <v>478</v>
      </c>
      <c r="AH7" t="s">
        <v>478</v>
      </c>
      <c r="AS7" t="s">
        <v>478</v>
      </c>
      <c r="BD7" t="s">
        <v>478</v>
      </c>
      <c r="BE7" s="368" t="s">
        <v>447</v>
      </c>
      <c r="BF7" s="368" t="s">
        <v>448</v>
      </c>
      <c r="BG7" s="368" t="s">
        <v>337</v>
      </c>
      <c r="BH7" s="368">
        <v>7920.9982909999999</v>
      </c>
      <c r="BI7" s="368">
        <v>1300.4116610000001</v>
      </c>
      <c r="BJ7" s="368">
        <v>4289.8485570000003</v>
      </c>
      <c r="BK7" s="368">
        <v>3191647.3268769998</v>
      </c>
      <c r="BL7" s="368">
        <v>-380364.94565000001</v>
      </c>
      <c r="BM7" s="368">
        <v>0.99521599999999999</v>
      </c>
      <c r="BO7" t="s">
        <v>478</v>
      </c>
      <c r="BZ7" t="s">
        <v>478</v>
      </c>
      <c r="CK7" t="s">
        <v>478</v>
      </c>
      <c r="CV7" t="s">
        <v>478</v>
      </c>
      <c r="DG7" t="s">
        <v>478</v>
      </c>
      <c r="DR7" t="s">
        <v>478</v>
      </c>
      <c r="EC7" t="s">
        <v>478</v>
      </c>
    </row>
    <row r="8" spans="1:142" x14ac:dyDescent="0.25">
      <c r="A8" t="s">
        <v>479</v>
      </c>
      <c r="L8" t="s">
        <v>479</v>
      </c>
      <c r="W8" t="s">
        <v>479</v>
      </c>
      <c r="AH8" t="s">
        <v>479</v>
      </c>
      <c r="AS8" t="s">
        <v>479</v>
      </c>
      <c r="BD8" t="s">
        <v>479</v>
      </c>
      <c r="BE8" s="368" t="s">
        <v>447</v>
      </c>
      <c r="BF8" s="368" t="s">
        <v>448</v>
      </c>
      <c r="BG8" s="368" t="s">
        <v>337</v>
      </c>
      <c r="BH8" s="368">
        <v>7052.2592619999996</v>
      </c>
      <c r="BI8" s="368">
        <v>1868.474995</v>
      </c>
      <c r="BJ8" s="368">
        <v>4314.3932000000004</v>
      </c>
      <c r="BK8" s="368">
        <v>3209908.5414399998</v>
      </c>
      <c r="BL8" s="368">
        <v>-273969.99937400001</v>
      </c>
      <c r="BM8" s="368">
        <v>0.99580299999999999</v>
      </c>
      <c r="BO8" t="s">
        <v>479</v>
      </c>
      <c r="BZ8" t="s">
        <v>479</v>
      </c>
      <c r="CK8" t="s">
        <v>479</v>
      </c>
      <c r="CV8" t="s">
        <v>479</v>
      </c>
      <c r="DG8" t="s">
        <v>479</v>
      </c>
      <c r="DR8" t="s">
        <v>479</v>
      </c>
      <c r="EC8" t="s">
        <v>479</v>
      </c>
    </row>
    <row r="9" spans="1:142" x14ac:dyDescent="0.25">
      <c r="A9" t="s">
        <v>480</v>
      </c>
      <c r="L9" t="s">
        <v>480</v>
      </c>
      <c r="W9" t="s">
        <v>480</v>
      </c>
      <c r="AH9" t="s">
        <v>480</v>
      </c>
      <c r="AS9" t="s">
        <v>480</v>
      </c>
      <c r="BD9" t="s">
        <v>480</v>
      </c>
      <c r="BE9" s="368" t="s">
        <v>447</v>
      </c>
      <c r="BF9" s="368" t="s">
        <v>448</v>
      </c>
      <c r="BG9" s="368" t="s">
        <v>337</v>
      </c>
      <c r="BH9" s="368">
        <v>12438.066731000001</v>
      </c>
      <c r="BI9" s="368">
        <v>5340.9466949999996</v>
      </c>
      <c r="BJ9" s="368">
        <v>8505.4390220000005</v>
      </c>
      <c r="BK9" s="368">
        <v>6328046.6324979998</v>
      </c>
      <c r="BL9" s="368">
        <v>925128.83773000003</v>
      </c>
      <c r="BM9" s="368">
        <v>0.99088299999999996</v>
      </c>
      <c r="BO9" t="s">
        <v>480</v>
      </c>
      <c r="BZ9" t="s">
        <v>480</v>
      </c>
      <c r="CK9" t="s">
        <v>480</v>
      </c>
      <c r="CV9" t="s">
        <v>480</v>
      </c>
      <c r="DG9" t="s">
        <v>480</v>
      </c>
      <c r="DR9" t="s">
        <v>480</v>
      </c>
      <c r="EC9" t="s">
        <v>480</v>
      </c>
    </row>
    <row r="10" spans="1:142" x14ac:dyDescent="0.25">
      <c r="A10" t="s">
        <v>481</v>
      </c>
      <c r="L10" t="s">
        <v>481</v>
      </c>
      <c r="W10" t="s">
        <v>481</v>
      </c>
      <c r="AH10" t="s">
        <v>481</v>
      </c>
      <c r="AS10" t="s">
        <v>481</v>
      </c>
      <c r="BD10" t="s">
        <v>481</v>
      </c>
      <c r="BE10" s="368" t="s">
        <v>447</v>
      </c>
      <c r="BF10" s="368" t="s">
        <v>448</v>
      </c>
      <c r="BG10" s="368" t="s">
        <v>337</v>
      </c>
      <c r="BH10" s="368">
        <v>11283.600097</v>
      </c>
      <c r="BI10" s="368">
        <v>3027.9849850000001</v>
      </c>
      <c r="BJ10" s="368">
        <v>7543.4396150000002</v>
      </c>
      <c r="BK10" s="368">
        <v>5612319.0738199996</v>
      </c>
      <c r="BL10" s="368">
        <v>-1026108.474957</v>
      </c>
      <c r="BM10" s="368">
        <v>0.99993500000000002</v>
      </c>
      <c r="BO10" t="s">
        <v>481</v>
      </c>
      <c r="BZ10" t="s">
        <v>481</v>
      </c>
      <c r="CK10" t="s">
        <v>481</v>
      </c>
      <c r="CV10" t="s">
        <v>481</v>
      </c>
      <c r="DG10" t="s">
        <v>481</v>
      </c>
      <c r="DR10" t="s">
        <v>481</v>
      </c>
      <c r="EC10" t="s">
        <v>481</v>
      </c>
    </row>
    <row r="11" spans="1:142" x14ac:dyDescent="0.25">
      <c r="A11" t="s">
        <v>482</v>
      </c>
      <c r="L11" t="s">
        <v>482</v>
      </c>
      <c r="W11" t="s">
        <v>482</v>
      </c>
      <c r="AH11" t="s">
        <v>482</v>
      </c>
      <c r="AS11" t="s">
        <v>482</v>
      </c>
      <c r="BD11" t="s">
        <v>482</v>
      </c>
      <c r="BE11" s="368" t="s">
        <v>447</v>
      </c>
      <c r="BF11" s="368" t="s">
        <v>448</v>
      </c>
      <c r="BG11" s="368" t="s">
        <v>337</v>
      </c>
      <c r="BH11" s="368">
        <v>7797.5383300000003</v>
      </c>
      <c r="BI11" s="368">
        <v>3381.4049879999998</v>
      </c>
      <c r="BJ11" s="368">
        <v>5392.0478110000004</v>
      </c>
      <c r="BK11" s="368">
        <v>4011683.5717569999</v>
      </c>
      <c r="BL11" s="368">
        <v>666722.53161399998</v>
      </c>
      <c r="BM11" s="368">
        <v>0.99252300000000004</v>
      </c>
      <c r="BO11" t="s">
        <v>482</v>
      </c>
      <c r="BZ11" t="s">
        <v>482</v>
      </c>
      <c r="CK11" t="s">
        <v>482</v>
      </c>
      <c r="CV11" t="s">
        <v>482</v>
      </c>
      <c r="DG11" t="s">
        <v>482</v>
      </c>
      <c r="DR11" t="s">
        <v>482</v>
      </c>
      <c r="EC11" t="s">
        <v>482</v>
      </c>
    </row>
    <row r="12" spans="1:142" x14ac:dyDescent="0.25">
      <c r="A12" t="s">
        <v>483</v>
      </c>
      <c r="L12" t="s">
        <v>483</v>
      </c>
      <c r="W12" t="s">
        <v>483</v>
      </c>
      <c r="AH12" t="s">
        <v>483</v>
      </c>
      <c r="AS12" t="s">
        <v>483</v>
      </c>
      <c r="BD12" t="s">
        <v>483</v>
      </c>
      <c r="BE12" s="368" t="s">
        <v>447</v>
      </c>
      <c r="BF12" s="368" t="s">
        <v>448</v>
      </c>
      <c r="BG12" s="368" t="s">
        <v>337</v>
      </c>
      <c r="BH12" s="368">
        <v>17347.116860999999</v>
      </c>
      <c r="BI12" s="368">
        <v>5169.0699860000004</v>
      </c>
      <c r="BJ12" s="368">
        <v>9921.4802889999992</v>
      </c>
      <c r="BK12" s="368">
        <v>7381581.3351790002</v>
      </c>
      <c r="BL12" s="368">
        <v>196880.28846000001</v>
      </c>
      <c r="BM12" s="368">
        <v>0.99707400000000002</v>
      </c>
      <c r="BO12" t="s">
        <v>483</v>
      </c>
      <c r="BZ12" t="s">
        <v>483</v>
      </c>
      <c r="CK12" t="s">
        <v>483</v>
      </c>
      <c r="CV12" t="s">
        <v>483</v>
      </c>
      <c r="DG12" t="s">
        <v>483</v>
      </c>
      <c r="DR12" t="s">
        <v>483</v>
      </c>
      <c r="EC12" t="s">
        <v>483</v>
      </c>
    </row>
    <row r="13" spans="1:142" x14ac:dyDescent="0.25">
      <c r="A13" t="s">
        <v>484</v>
      </c>
      <c r="L13" t="s">
        <v>484</v>
      </c>
      <c r="W13" t="s">
        <v>484</v>
      </c>
      <c r="AH13" t="s">
        <v>484</v>
      </c>
      <c r="AS13" t="s">
        <v>484</v>
      </c>
      <c r="BD13" t="s">
        <v>484</v>
      </c>
      <c r="BE13" s="368" t="s">
        <v>447</v>
      </c>
      <c r="BF13" s="368" t="s">
        <v>448</v>
      </c>
      <c r="BG13" s="368" t="s">
        <v>337</v>
      </c>
      <c r="BH13" s="368">
        <v>14566.583495999999</v>
      </c>
      <c r="BI13" s="368">
        <v>5247.3150219999998</v>
      </c>
      <c r="BJ13" s="368">
        <v>8534.6754770000007</v>
      </c>
      <c r="BK13" s="368">
        <v>6349798.554951</v>
      </c>
      <c r="BL13" s="368">
        <v>71928.822041000007</v>
      </c>
      <c r="BM13" s="368">
        <v>0.99792199999999998</v>
      </c>
      <c r="BO13" t="s">
        <v>484</v>
      </c>
      <c r="BZ13" t="s">
        <v>484</v>
      </c>
      <c r="CK13" t="s">
        <v>484</v>
      </c>
      <c r="CV13" t="s">
        <v>484</v>
      </c>
      <c r="DG13" t="s">
        <v>484</v>
      </c>
      <c r="DR13" t="s">
        <v>484</v>
      </c>
      <c r="EC13" t="s">
        <v>484</v>
      </c>
    </row>
    <row r="14" spans="1:142" x14ac:dyDescent="0.25">
      <c r="A14" t="s">
        <v>485</v>
      </c>
      <c r="L14" t="s">
        <v>485</v>
      </c>
      <c r="W14" t="s">
        <v>485</v>
      </c>
      <c r="AH14" t="s">
        <v>485</v>
      </c>
      <c r="AS14" t="s">
        <v>485</v>
      </c>
      <c r="BD14" t="s">
        <v>485</v>
      </c>
      <c r="BE14" s="368" t="s">
        <v>447</v>
      </c>
      <c r="BF14" s="368" t="s">
        <v>448</v>
      </c>
      <c r="BG14" s="368" t="s">
        <v>337</v>
      </c>
      <c r="BH14" s="368">
        <v>4106.7133379999996</v>
      </c>
      <c r="BI14" s="368">
        <v>2088.1116120000002</v>
      </c>
      <c r="BJ14" s="368">
        <v>3089.963499</v>
      </c>
      <c r="BK14" s="368">
        <v>2298932.8435709998</v>
      </c>
      <c r="BL14" s="368">
        <v>158763.53859499999</v>
      </c>
      <c r="BM14" s="368">
        <v>0.996313</v>
      </c>
      <c r="BO14" t="s">
        <v>485</v>
      </c>
      <c r="BZ14" t="s">
        <v>485</v>
      </c>
      <c r="CK14" t="s">
        <v>485</v>
      </c>
      <c r="CV14" t="s">
        <v>485</v>
      </c>
      <c r="DG14" t="s">
        <v>485</v>
      </c>
      <c r="DR14" t="s">
        <v>485</v>
      </c>
      <c r="EC14" t="s">
        <v>485</v>
      </c>
    </row>
    <row r="15" spans="1:142" x14ac:dyDescent="0.25">
      <c r="A15" t="s">
        <v>486</v>
      </c>
      <c r="L15" t="s">
        <v>486</v>
      </c>
      <c r="W15" t="s">
        <v>486</v>
      </c>
      <c r="AH15" t="s">
        <v>486</v>
      </c>
      <c r="AS15" t="s">
        <v>486</v>
      </c>
      <c r="BD15" t="s">
        <v>486</v>
      </c>
      <c r="BE15" s="368" t="s">
        <v>447</v>
      </c>
      <c r="BF15" s="368" t="s">
        <v>448</v>
      </c>
      <c r="BG15" s="368" t="s">
        <v>337</v>
      </c>
      <c r="BH15" s="368">
        <v>26103.299803999998</v>
      </c>
      <c r="BI15" s="368">
        <v>11267.711255</v>
      </c>
      <c r="BJ15" s="368">
        <v>17576.483455000001</v>
      </c>
      <c r="BK15" s="368">
        <v>13076903.690632001</v>
      </c>
      <c r="BL15" s="368">
        <v>1825414.392733</v>
      </c>
      <c r="BM15" s="368">
        <v>0.99131599999999997</v>
      </c>
      <c r="BO15" t="s">
        <v>486</v>
      </c>
      <c r="BZ15" t="s">
        <v>486</v>
      </c>
      <c r="CK15" t="s">
        <v>486</v>
      </c>
      <c r="CV15" t="s">
        <v>486</v>
      </c>
      <c r="DG15" t="s">
        <v>486</v>
      </c>
      <c r="DR15" t="s">
        <v>486</v>
      </c>
      <c r="EC15" t="s">
        <v>486</v>
      </c>
    </row>
    <row r="16" spans="1:142" x14ac:dyDescent="0.25">
      <c r="A16" t="s">
        <v>487</v>
      </c>
      <c r="L16" t="s">
        <v>487</v>
      </c>
      <c r="W16" t="s">
        <v>487</v>
      </c>
      <c r="AH16" t="s">
        <v>487</v>
      </c>
      <c r="AS16" t="s">
        <v>487</v>
      </c>
      <c r="BD16" t="s">
        <v>487</v>
      </c>
      <c r="BE16" s="368" t="s">
        <v>447</v>
      </c>
      <c r="BF16" s="368" t="s">
        <v>448</v>
      </c>
      <c r="BG16" s="368" t="s">
        <v>337</v>
      </c>
      <c r="BH16" s="368">
        <v>18347.733398</v>
      </c>
      <c r="BI16" s="368">
        <v>7117.0100089999996</v>
      </c>
      <c r="BJ16" s="368">
        <v>12004.445166</v>
      </c>
      <c r="BK16" s="368">
        <v>8931307.2036390007</v>
      </c>
      <c r="BL16" s="368">
        <v>-491176.90523799998</v>
      </c>
      <c r="BM16" s="368">
        <v>0.99988100000000002</v>
      </c>
      <c r="BO16" t="s">
        <v>487</v>
      </c>
      <c r="BZ16" t="s">
        <v>487</v>
      </c>
      <c r="CK16" t="s">
        <v>487</v>
      </c>
      <c r="CV16" t="s">
        <v>487</v>
      </c>
      <c r="DG16" t="s">
        <v>487</v>
      </c>
      <c r="DR16" t="s">
        <v>487</v>
      </c>
      <c r="EC16" t="s">
        <v>487</v>
      </c>
    </row>
    <row r="17" spans="1:133" x14ac:dyDescent="0.25">
      <c r="A17" t="s">
        <v>488</v>
      </c>
      <c r="L17" t="s">
        <v>488</v>
      </c>
      <c r="W17" t="s">
        <v>488</v>
      </c>
      <c r="AH17" t="s">
        <v>488</v>
      </c>
      <c r="AS17" t="s">
        <v>488</v>
      </c>
      <c r="BD17" t="s">
        <v>488</v>
      </c>
      <c r="BE17" s="368" t="s">
        <v>447</v>
      </c>
      <c r="BF17" s="368" t="s">
        <v>448</v>
      </c>
      <c r="BG17" s="368" t="s">
        <v>337</v>
      </c>
      <c r="BH17" s="368">
        <v>15899.8833</v>
      </c>
      <c r="BI17" s="368">
        <v>7359.7561180000002</v>
      </c>
      <c r="BJ17" s="368">
        <v>11743.061328</v>
      </c>
      <c r="BK17" s="368">
        <v>8736837.6285970006</v>
      </c>
      <c r="BL17" s="368">
        <v>109121.387061</v>
      </c>
      <c r="BM17" s="368">
        <v>0.99985000000000002</v>
      </c>
      <c r="BO17" t="s">
        <v>488</v>
      </c>
      <c r="BZ17" t="s">
        <v>488</v>
      </c>
      <c r="CK17" t="s">
        <v>488</v>
      </c>
      <c r="CV17" t="s">
        <v>488</v>
      </c>
      <c r="DG17" t="s">
        <v>488</v>
      </c>
      <c r="DR17" t="s">
        <v>488</v>
      </c>
      <c r="EC17" t="s">
        <v>488</v>
      </c>
    </row>
    <row r="18" spans="1:133" x14ac:dyDescent="0.25">
      <c r="A18" t="s">
        <v>489</v>
      </c>
      <c r="L18" t="s">
        <v>489</v>
      </c>
      <c r="W18" t="s">
        <v>489</v>
      </c>
      <c r="AH18" t="s">
        <v>489</v>
      </c>
      <c r="AS18" t="s">
        <v>489</v>
      </c>
      <c r="BD18" t="s">
        <v>489</v>
      </c>
      <c r="BE18" s="368" t="s">
        <v>447</v>
      </c>
      <c r="BF18" s="368" t="s">
        <v>448</v>
      </c>
      <c r="BG18" s="368" t="s">
        <v>337</v>
      </c>
      <c r="BH18" s="368">
        <v>5016.8600260000003</v>
      </c>
      <c r="BI18" s="368">
        <v>1614.448343</v>
      </c>
      <c r="BJ18" s="368">
        <v>3409.3287500000001</v>
      </c>
      <c r="BK18" s="368">
        <v>2536540.5900690001</v>
      </c>
      <c r="BL18" s="368">
        <v>-342207.21131500002</v>
      </c>
      <c r="BM18" s="368">
        <v>0.97936900000000005</v>
      </c>
      <c r="BO18" t="s">
        <v>489</v>
      </c>
      <c r="BZ18" t="s">
        <v>489</v>
      </c>
      <c r="CK18" t="s">
        <v>489</v>
      </c>
      <c r="CV18" t="s">
        <v>489</v>
      </c>
      <c r="DG18" t="s">
        <v>489</v>
      </c>
      <c r="DR18" t="s">
        <v>489</v>
      </c>
      <c r="EC18" t="s">
        <v>489</v>
      </c>
    </row>
    <row r="19" spans="1:133" x14ac:dyDescent="0.25">
      <c r="A19" t="s">
        <v>490</v>
      </c>
      <c r="L19" t="s">
        <v>490</v>
      </c>
      <c r="W19" t="s">
        <v>490</v>
      </c>
      <c r="AH19" t="s">
        <v>490</v>
      </c>
      <c r="AS19" t="s">
        <v>490</v>
      </c>
      <c r="BD19" t="s">
        <v>490</v>
      </c>
      <c r="BE19" s="368" t="s">
        <v>447</v>
      </c>
      <c r="BF19" s="368" t="s">
        <v>448</v>
      </c>
      <c r="BG19" s="368" t="s">
        <v>337</v>
      </c>
      <c r="BH19" s="368">
        <v>3879.9216710000001</v>
      </c>
      <c r="BI19" s="368">
        <v>1320.718288</v>
      </c>
      <c r="BJ19" s="368">
        <v>2660.6151100000002</v>
      </c>
      <c r="BK19" s="368">
        <v>1979497.642275</v>
      </c>
      <c r="BL19" s="368">
        <v>436519.70085999998</v>
      </c>
      <c r="BM19" s="368">
        <v>0.97984000000000004</v>
      </c>
      <c r="BO19" t="s">
        <v>490</v>
      </c>
      <c r="BZ19" t="s">
        <v>490</v>
      </c>
      <c r="CK19" t="s">
        <v>490</v>
      </c>
      <c r="CV19" t="s">
        <v>490</v>
      </c>
      <c r="DG19" t="s">
        <v>490</v>
      </c>
      <c r="DR19" t="s">
        <v>490</v>
      </c>
      <c r="EC19" t="s">
        <v>490</v>
      </c>
    </row>
    <row r="20" spans="1:133" x14ac:dyDescent="0.25">
      <c r="A20" t="s">
        <v>491</v>
      </c>
      <c r="L20" t="s">
        <v>491</v>
      </c>
      <c r="W20" t="s">
        <v>491</v>
      </c>
      <c r="AH20" t="s">
        <v>491</v>
      </c>
      <c r="AS20" t="s">
        <v>491</v>
      </c>
      <c r="BD20" t="s">
        <v>491</v>
      </c>
      <c r="BE20" s="370" t="s">
        <v>447</v>
      </c>
      <c r="BF20" s="370" t="s">
        <v>448</v>
      </c>
      <c r="BG20" s="370" t="s">
        <v>337</v>
      </c>
      <c r="BH20" s="370">
        <v>3064</v>
      </c>
      <c r="BI20" s="370">
        <v>-1</v>
      </c>
      <c r="BJ20" s="370">
        <v>-1</v>
      </c>
      <c r="BK20" s="370">
        <v>1559161</v>
      </c>
      <c r="BL20" s="370">
        <v>-1</v>
      </c>
      <c r="BM20" s="370">
        <v>1</v>
      </c>
      <c r="BO20" t="s">
        <v>491</v>
      </c>
      <c r="BZ20" t="s">
        <v>491</v>
      </c>
      <c r="CK20" t="s">
        <v>491</v>
      </c>
      <c r="CV20" t="s">
        <v>491</v>
      </c>
      <c r="DG20" t="s">
        <v>491</v>
      </c>
      <c r="DR20" t="s">
        <v>491</v>
      </c>
      <c r="EC20" t="s">
        <v>491</v>
      </c>
    </row>
    <row r="21" spans="1:133" x14ac:dyDescent="0.25">
      <c r="A21" t="s">
        <v>492</v>
      </c>
      <c r="L21" t="s">
        <v>492</v>
      </c>
      <c r="W21" t="s">
        <v>492</v>
      </c>
      <c r="AH21" t="s">
        <v>492</v>
      </c>
      <c r="AS21" t="s">
        <v>492</v>
      </c>
      <c r="BD21" t="s">
        <v>492</v>
      </c>
      <c r="BE21" s="368" t="s">
        <v>447</v>
      </c>
      <c r="BF21" s="368" t="s">
        <v>448</v>
      </c>
      <c r="BG21" s="368" t="s">
        <v>337</v>
      </c>
      <c r="BH21" s="368">
        <v>5483.3316240000004</v>
      </c>
      <c r="BI21" s="368">
        <v>2855.1123379999999</v>
      </c>
      <c r="BJ21" s="368">
        <v>4038.2027870000002</v>
      </c>
      <c r="BK21" s="368">
        <v>3004422.8738000002</v>
      </c>
      <c r="BL21" s="368">
        <v>-1795418.575287</v>
      </c>
      <c r="BM21" s="368">
        <v>0.91867500000000002</v>
      </c>
      <c r="BO21" t="s">
        <v>492</v>
      </c>
      <c r="BZ21" t="s">
        <v>492</v>
      </c>
      <c r="CK21" t="s">
        <v>492</v>
      </c>
      <c r="CV21" t="s">
        <v>492</v>
      </c>
      <c r="DG21" t="s">
        <v>492</v>
      </c>
      <c r="DR21" t="s">
        <v>492</v>
      </c>
      <c r="EC21" t="s">
        <v>492</v>
      </c>
    </row>
    <row r="22" spans="1:133" x14ac:dyDescent="0.25">
      <c r="A22" t="s">
        <v>493</v>
      </c>
      <c r="L22" t="s">
        <v>493</v>
      </c>
      <c r="W22" t="s">
        <v>493</v>
      </c>
      <c r="AH22" t="s">
        <v>493</v>
      </c>
      <c r="AS22" t="s">
        <v>493</v>
      </c>
      <c r="BD22" t="s">
        <v>493</v>
      </c>
      <c r="BE22" s="368" t="s">
        <v>447</v>
      </c>
      <c r="BF22" s="368" t="s">
        <v>448</v>
      </c>
      <c r="BG22" s="368" t="s">
        <v>337</v>
      </c>
      <c r="BH22" s="368">
        <v>4758.4574380000004</v>
      </c>
      <c r="BI22" s="368">
        <v>2269.6633700000002</v>
      </c>
      <c r="BJ22" s="368">
        <v>3324.0206539999999</v>
      </c>
      <c r="BK22" s="368">
        <v>2473071.3672210001</v>
      </c>
      <c r="BL22" s="368">
        <v>-3022.087704</v>
      </c>
      <c r="BM22" s="368">
        <v>0.998394</v>
      </c>
      <c r="BO22" t="s">
        <v>493</v>
      </c>
      <c r="BZ22" t="s">
        <v>493</v>
      </c>
      <c r="CK22" t="s">
        <v>493</v>
      </c>
      <c r="CV22" t="s">
        <v>493</v>
      </c>
      <c r="DG22" t="s">
        <v>493</v>
      </c>
      <c r="DR22" t="s">
        <v>493</v>
      </c>
      <c r="EC22" t="s">
        <v>493</v>
      </c>
    </row>
    <row r="23" spans="1:133" x14ac:dyDescent="0.25">
      <c r="A23" t="s">
        <v>494</v>
      </c>
      <c r="L23" t="s">
        <v>494</v>
      </c>
      <c r="W23" t="s">
        <v>494</v>
      </c>
      <c r="AH23" t="s">
        <v>494</v>
      </c>
      <c r="AS23" t="s">
        <v>494</v>
      </c>
      <c r="BD23" t="s">
        <v>494</v>
      </c>
      <c r="BE23" s="368" t="s">
        <v>447</v>
      </c>
      <c r="BF23" s="368" t="s">
        <v>448</v>
      </c>
      <c r="BG23" s="368" t="s">
        <v>337</v>
      </c>
      <c r="BH23" s="368">
        <v>10523.166503</v>
      </c>
      <c r="BI23" s="368">
        <v>4196.3570920000002</v>
      </c>
      <c r="BJ23" s="368">
        <v>7109.6391530000001</v>
      </c>
      <c r="BK23" s="368">
        <v>5289571.5301080002</v>
      </c>
      <c r="BL23" s="368">
        <v>707356.82857500005</v>
      </c>
      <c r="BM23" s="368">
        <v>0.98175999999999997</v>
      </c>
      <c r="BO23" t="s">
        <v>494</v>
      </c>
      <c r="BZ23" t="s">
        <v>494</v>
      </c>
      <c r="CK23" t="s">
        <v>494</v>
      </c>
      <c r="CV23" t="s">
        <v>494</v>
      </c>
      <c r="DG23" t="s">
        <v>494</v>
      </c>
      <c r="DR23" t="s">
        <v>494</v>
      </c>
      <c r="EC23" t="s">
        <v>494</v>
      </c>
    </row>
    <row r="24" spans="1:133" x14ac:dyDescent="0.25">
      <c r="A24" t="s">
        <v>495</v>
      </c>
      <c r="L24" t="s">
        <v>495</v>
      </c>
      <c r="W24" t="s">
        <v>495</v>
      </c>
      <c r="AH24" t="s">
        <v>495</v>
      </c>
      <c r="AS24" t="s">
        <v>495</v>
      </c>
      <c r="BD24" t="s">
        <v>495</v>
      </c>
      <c r="BE24" s="370" t="s">
        <v>447</v>
      </c>
      <c r="BF24" s="370" t="s">
        <v>448</v>
      </c>
      <c r="BG24" s="370" t="s">
        <v>337</v>
      </c>
      <c r="BH24" s="370">
        <v>8599</v>
      </c>
      <c r="BI24" s="370">
        <v>-1</v>
      </c>
      <c r="BJ24" s="370">
        <v>-1</v>
      </c>
      <c r="BK24" s="370">
        <v>-1</v>
      </c>
      <c r="BL24" s="370">
        <v>-1</v>
      </c>
      <c r="BM24" s="370">
        <v>0.99390000000000001</v>
      </c>
      <c r="BO24" t="s">
        <v>495</v>
      </c>
      <c r="BZ24" t="s">
        <v>495</v>
      </c>
      <c r="CK24" t="s">
        <v>495</v>
      </c>
      <c r="CV24" t="s">
        <v>495</v>
      </c>
      <c r="DG24" t="s">
        <v>495</v>
      </c>
      <c r="DR24" t="s">
        <v>495</v>
      </c>
      <c r="EC24" t="s">
        <v>495</v>
      </c>
    </row>
    <row r="25" spans="1:133" x14ac:dyDescent="0.25">
      <c r="A25" t="s">
        <v>496</v>
      </c>
      <c r="L25" t="s">
        <v>496</v>
      </c>
      <c r="W25" t="s">
        <v>496</v>
      </c>
      <c r="AH25" t="s">
        <v>496</v>
      </c>
      <c r="AS25" t="s">
        <v>496</v>
      </c>
      <c r="BD25" t="s">
        <v>496</v>
      </c>
      <c r="BE25" s="370" t="s">
        <v>447</v>
      </c>
      <c r="BF25" s="370" t="s">
        <v>448</v>
      </c>
      <c r="BG25" s="370" t="s">
        <v>337</v>
      </c>
      <c r="BH25" s="370">
        <v>3955</v>
      </c>
      <c r="BI25" s="370">
        <v>-1</v>
      </c>
      <c r="BJ25" s="370">
        <v>-1</v>
      </c>
      <c r="BK25" s="370">
        <v>-1</v>
      </c>
      <c r="BL25" s="370">
        <v>-1</v>
      </c>
      <c r="BM25" s="370">
        <v>0.99990000000000001</v>
      </c>
      <c r="BO25" t="s">
        <v>496</v>
      </c>
      <c r="BZ25" t="s">
        <v>496</v>
      </c>
      <c r="CK25" t="s">
        <v>496</v>
      </c>
      <c r="CV25" t="s">
        <v>496</v>
      </c>
      <c r="DG25" t="s">
        <v>496</v>
      </c>
      <c r="DR25" t="s">
        <v>496</v>
      </c>
      <c r="EC25" t="s">
        <v>496</v>
      </c>
    </row>
    <row r="26" spans="1:133" x14ac:dyDescent="0.25">
      <c r="A26" t="s">
        <v>497</v>
      </c>
      <c r="L26" t="s">
        <v>497</v>
      </c>
      <c r="W26" t="s">
        <v>497</v>
      </c>
      <c r="AH26" t="s">
        <v>497</v>
      </c>
      <c r="AS26" t="s">
        <v>497</v>
      </c>
      <c r="BD26" t="s">
        <v>497</v>
      </c>
      <c r="BE26" s="370" t="s">
        <v>447</v>
      </c>
      <c r="BF26" s="370" t="s">
        <v>448</v>
      </c>
      <c r="BG26" s="370" t="s">
        <v>337</v>
      </c>
      <c r="BH26" s="370">
        <v>7626</v>
      </c>
      <c r="BI26" s="370">
        <v>-1</v>
      </c>
      <c r="BJ26" s="370">
        <v>-1</v>
      </c>
      <c r="BK26" s="370">
        <v>-1</v>
      </c>
      <c r="BL26" s="370">
        <v>-1</v>
      </c>
      <c r="BM26" s="370">
        <v>0.99990000000000001</v>
      </c>
      <c r="BO26" t="s">
        <v>497</v>
      </c>
      <c r="BZ26" t="s">
        <v>497</v>
      </c>
      <c r="CK26" t="s">
        <v>497</v>
      </c>
      <c r="CV26" t="s">
        <v>497</v>
      </c>
      <c r="DG26" t="s">
        <v>497</v>
      </c>
      <c r="DR26" t="s">
        <v>497</v>
      </c>
      <c r="EC26" t="s">
        <v>497</v>
      </c>
    </row>
    <row r="27" spans="1:133" x14ac:dyDescent="0.25">
      <c r="A27" t="s">
        <v>498</v>
      </c>
      <c r="L27" t="s">
        <v>498</v>
      </c>
      <c r="W27" t="s">
        <v>498</v>
      </c>
      <c r="AH27" t="s">
        <v>498</v>
      </c>
      <c r="AS27" t="s">
        <v>498</v>
      </c>
      <c r="BD27" t="s">
        <v>498</v>
      </c>
      <c r="BE27" s="370" t="s">
        <v>447</v>
      </c>
      <c r="BF27" s="370" t="s">
        <v>448</v>
      </c>
      <c r="BG27" s="370" t="s">
        <v>337</v>
      </c>
      <c r="BH27" s="370">
        <v>2718</v>
      </c>
      <c r="BI27" s="370">
        <v>-1</v>
      </c>
      <c r="BJ27" s="370">
        <v>-1</v>
      </c>
      <c r="BK27" s="370">
        <v>-1</v>
      </c>
      <c r="BL27" s="370">
        <v>-1</v>
      </c>
      <c r="BM27" s="370">
        <v>1</v>
      </c>
      <c r="BO27" t="s">
        <v>498</v>
      </c>
      <c r="BZ27" t="s">
        <v>498</v>
      </c>
      <c r="CK27" t="s">
        <v>498</v>
      </c>
      <c r="CV27" t="s">
        <v>498</v>
      </c>
      <c r="DG27" t="s">
        <v>498</v>
      </c>
      <c r="DR27" t="s">
        <v>498</v>
      </c>
      <c r="EC27" t="s">
        <v>498</v>
      </c>
    </row>
    <row r="28" spans="1:133" x14ac:dyDescent="0.25">
      <c r="A28" t="s">
        <v>499</v>
      </c>
      <c r="L28" t="s">
        <v>499</v>
      </c>
      <c r="W28" t="s">
        <v>499</v>
      </c>
      <c r="AH28" t="s">
        <v>499</v>
      </c>
      <c r="AS28" t="s">
        <v>499</v>
      </c>
      <c r="BD28" t="s">
        <v>499</v>
      </c>
      <c r="BE28" s="369" t="s">
        <v>447</v>
      </c>
      <c r="BF28" s="369" t="s">
        <v>448</v>
      </c>
      <c r="BG28" s="369" t="s">
        <v>337</v>
      </c>
      <c r="BH28" s="369">
        <v>-1</v>
      </c>
      <c r="BI28" s="369">
        <v>-1</v>
      </c>
      <c r="BJ28" s="369">
        <v>-1</v>
      </c>
      <c r="BK28" s="369">
        <v>-1</v>
      </c>
      <c r="BL28" s="369">
        <v>-1</v>
      </c>
      <c r="BM28" s="369">
        <v>-1</v>
      </c>
      <c r="BO28" t="s">
        <v>499</v>
      </c>
      <c r="BZ28" t="s">
        <v>499</v>
      </c>
      <c r="CK28" t="s">
        <v>499</v>
      </c>
      <c r="CV28" t="s">
        <v>499</v>
      </c>
      <c r="DG28" t="s">
        <v>499</v>
      </c>
      <c r="DR28" t="s">
        <v>499</v>
      </c>
      <c r="EC28" t="s">
        <v>499</v>
      </c>
    </row>
    <row r="29" spans="1:133" x14ac:dyDescent="0.25">
      <c r="A29" t="s">
        <v>500</v>
      </c>
      <c r="L29" t="s">
        <v>500</v>
      </c>
      <c r="W29" t="s">
        <v>500</v>
      </c>
      <c r="AH29" t="s">
        <v>500</v>
      </c>
      <c r="AS29" t="s">
        <v>500</v>
      </c>
      <c r="BD29" t="s">
        <v>500</v>
      </c>
      <c r="BE29" s="369" t="s">
        <v>447</v>
      </c>
      <c r="BF29" s="369" t="s">
        <v>448</v>
      </c>
      <c r="BG29" s="369" t="s">
        <v>337</v>
      </c>
      <c r="BH29" s="369">
        <v>-1</v>
      </c>
      <c r="BI29" s="369">
        <v>-1</v>
      </c>
      <c r="BJ29" s="369">
        <v>-1</v>
      </c>
      <c r="BK29" s="369">
        <v>-1</v>
      </c>
      <c r="BL29" s="369">
        <v>-1</v>
      </c>
      <c r="BM29" s="369">
        <v>-1</v>
      </c>
      <c r="BO29" t="s">
        <v>500</v>
      </c>
      <c r="BZ29" t="s">
        <v>500</v>
      </c>
      <c r="CK29" t="s">
        <v>500</v>
      </c>
      <c r="CV29" t="s">
        <v>500</v>
      </c>
      <c r="DG29" t="s">
        <v>500</v>
      </c>
      <c r="DR29" t="s">
        <v>500</v>
      </c>
      <c r="EC29" t="s">
        <v>500</v>
      </c>
    </row>
    <row r="30" spans="1:133" x14ac:dyDescent="0.25">
      <c r="A30" t="s">
        <v>478</v>
      </c>
      <c r="L30" t="s">
        <v>478</v>
      </c>
      <c r="W30" t="s">
        <v>478</v>
      </c>
      <c r="AH30" t="s">
        <v>478</v>
      </c>
      <c r="AS30" t="s">
        <v>478</v>
      </c>
      <c r="BD30" t="s">
        <v>478</v>
      </c>
      <c r="BE30" s="369" t="s">
        <v>447</v>
      </c>
      <c r="BF30" s="369" t="s">
        <v>448</v>
      </c>
      <c r="BG30" s="369" t="s">
        <v>337</v>
      </c>
      <c r="BH30" s="369">
        <v>-1</v>
      </c>
      <c r="BI30" s="369">
        <v>-1</v>
      </c>
      <c r="BJ30" s="369">
        <v>-1</v>
      </c>
      <c r="BK30" s="369">
        <v>-1</v>
      </c>
      <c r="BL30" s="369">
        <v>-1</v>
      </c>
      <c r="BM30" s="369">
        <v>-1</v>
      </c>
      <c r="BO30" t="s">
        <v>478</v>
      </c>
      <c r="BZ30" t="s">
        <v>478</v>
      </c>
      <c r="CK30" t="s">
        <v>478</v>
      </c>
      <c r="CV30" t="s">
        <v>478</v>
      </c>
      <c r="DG30" t="s">
        <v>478</v>
      </c>
      <c r="DR30" t="s">
        <v>478</v>
      </c>
      <c r="EC30" t="s">
        <v>478</v>
      </c>
    </row>
    <row r="31" spans="1:133" x14ac:dyDescent="0.25">
      <c r="A31" t="s">
        <v>478</v>
      </c>
      <c r="L31" t="s">
        <v>478</v>
      </c>
      <c r="W31" t="s">
        <v>478</v>
      </c>
      <c r="AH31" t="s">
        <v>478</v>
      </c>
      <c r="AS31" t="s">
        <v>478</v>
      </c>
      <c r="BD31" t="s">
        <v>478</v>
      </c>
      <c r="BE31" s="369" t="s">
        <v>447</v>
      </c>
      <c r="BF31" s="369" t="s">
        <v>448</v>
      </c>
      <c r="BG31" s="369" t="s">
        <v>337</v>
      </c>
      <c r="BH31" s="369">
        <v>-1</v>
      </c>
      <c r="BI31" s="369">
        <v>-1</v>
      </c>
      <c r="BJ31" s="369">
        <v>-1</v>
      </c>
      <c r="BK31" s="369">
        <v>-1</v>
      </c>
      <c r="BL31" s="369">
        <v>-1</v>
      </c>
      <c r="BM31" s="369">
        <v>-1</v>
      </c>
      <c r="BO31" t="s">
        <v>478</v>
      </c>
      <c r="BZ31" t="s">
        <v>478</v>
      </c>
      <c r="CK31" t="s">
        <v>478</v>
      </c>
      <c r="CV31" t="s">
        <v>478</v>
      </c>
      <c r="DG31" t="s">
        <v>478</v>
      </c>
      <c r="DR31" t="s">
        <v>478</v>
      </c>
      <c r="EC31" t="s">
        <v>478</v>
      </c>
    </row>
    <row r="32" spans="1:133" x14ac:dyDescent="0.25">
      <c r="A32" t="s">
        <v>501</v>
      </c>
      <c r="L32" t="s">
        <v>501</v>
      </c>
      <c r="W32" t="s">
        <v>501</v>
      </c>
      <c r="AH32" t="s">
        <v>501</v>
      </c>
      <c r="AS32" t="s">
        <v>501</v>
      </c>
      <c r="BD32" t="s">
        <v>501</v>
      </c>
      <c r="BE32" s="368" t="s">
        <v>447</v>
      </c>
      <c r="BF32" s="368" t="s">
        <v>448</v>
      </c>
      <c r="BG32" s="368" t="s">
        <v>337</v>
      </c>
      <c r="BH32" s="368">
        <v>8567.9300129999992</v>
      </c>
      <c r="BI32" s="368">
        <v>3887.7383620000001</v>
      </c>
      <c r="BJ32" s="368">
        <v>6579.8018899999997</v>
      </c>
      <c r="BK32" s="368">
        <v>4895372.6066699997</v>
      </c>
      <c r="BL32" s="368">
        <v>-832247.36391700001</v>
      </c>
      <c r="BM32" s="368">
        <v>0.99009599999999998</v>
      </c>
      <c r="BO32" t="s">
        <v>501</v>
      </c>
      <c r="BZ32" t="s">
        <v>501</v>
      </c>
      <c r="CK32" t="s">
        <v>501</v>
      </c>
      <c r="CV32" t="s">
        <v>501</v>
      </c>
      <c r="DG32" t="s">
        <v>501</v>
      </c>
      <c r="DR32" t="s">
        <v>501</v>
      </c>
      <c r="EC32" t="s">
        <v>501</v>
      </c>
    </row>
  </sheetData>
  <mergeCells count="13">
    <mergeCell ref="BD1:BM1"/>
    <mergeCell ref="A1:J1"/>
    <mergeCell ref="L1:U1"/>
    <mergeCell ref="W1:AF1"/>
    <mergeCell ref="AH1:AQ1"/>
    <mergeCell ref="AS1:BB1"/>
    <mergeCell ref="EC1:EL1"/>
    <mergeCell ref="BO1:BX1"/>
    <mergeCell ref="BZ1:CI1"/>
    <mergeCell ref="CK1:CT1"/>
    <mergeCell ref="CV1:DE1"/>
    <mergeCell ref="DG1:DP1"/>
    <mergeCell ref="DR1:EA1"/>
  </mergeCells>
  <pageMargins left="0.7" right="0.7" top="0.75" bottom="0.75" header="0.3" footer="0.3"/>
  <tableParts count="13">
    <tablePart r:id="rId1"/>
    <tablePart r:id="rId2"/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</tablePar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Hoja12">
    <tabColor theme="8" tint="0.59999389629810485"/>
    <pageSetUpPr fitToPage="1"/>
  </sheetPr>
  <dimension ref="A1:R82"/>
  <sheetViews>
    <sheetView topLeftCell="A4" zoomScaleNormal="100" workbookViewId="0">
      <selection activeCell="B45" sqref="B45:N45"/>
    </sheetView>
  </sheetViews>
  <sheetFormatPr baseColWidth="10" defaultRowHeight="13.2" x14ac:dyDescent="0.25"/>
  <cols>
    <col min="1" max="1" width="16.88671875" bestFit="1" customWidth="1"/>
    <col min="2" max="2" width="16.88671875" customWidth="1"/>
    <col min="3" max="5" width="15.6640625" customWidth="1"/>
    <col min="6" max="6" width="17.6640625" customWidth="1"/>
    <col min="7" max="16" width="15.6640625" customWidth="1"/>
  </cols>
  <sheetData>
    <row r="1" spans="1:16" x14ac:dyDescent="0.25">
      <c r="A1" s="360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O4" s="20"/>
    </row>
    <row r="5" spans="1:16" x14ac:dyDescent="0.25">
      <c r="E5" s="398" t="s">
        <v>66</v>
      </c>
      <c r="F5" s="398"/>
      <c r="G5" s="398"/>
      <c r="H5" s="398"/>
      <c r="I5" s="398"/>
      <c r="J5" s="398"/>
      <c r="K5" s="398"/>
      <c r="L5" s="398"/>
      <c r="M5" s="398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1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1"/>
      <c r="O11" s="21"/>
      <c r="P11" s="21"/>
    </row>
    <row r="12" spans="1:16" s="24" customFormat="1" x14ac:dyDescent="0.25">
      <c r="A12" s="271" t="s">
        <v>204</v>
      </c>
      <c r="B12" s="66"/>
      <c r="C12" s="262"/>
      <c r="D12" s="262"/>
      <c r="E12" s="262"/>
      <c r="F12" s="263"/>
      <c r="G12" s="264"/>
      <c r="H12" s="66"/>
      <c r="I12" s="66"/>
      <c r="J12" s="66"/>
      <c r="K12" s="50"/>
      <c r="L12" s="50"/>
      <c r="M12" s="50"/>
      <c r="N12" s="66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4321.7417800000003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79"/>
      <c r="P13" s="47">
        <f>MAX(B13:N13)</f>
        <v>4321.7417800000003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2318649.2541209999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2318649.2541209999</v>
      </c>
      <c r="P14" s="37">
        <f>SUM(B14:N14)/(COUNTIF(B14:N14,"&gt;0"))</f>
        <v>2318649.2541209999</v>
      </c>
    </row>
    <row r="15" spans="1:16" x14ac:dyDescent="0.25">
      <c r="A15" s="3" t="s">
        <v>16</v>
      </c>
      <c r="B15" s="37" t="e">
        <f t="shared" ref="B15:K15" si="0">+((B13/B17)^2-(B13^2))^(0.5)</f>
        <v>#DIV/0!</v>
      </c>
      <c r="C15" s="37" t="e">
        <f t="shared" si="0"/>
        <v>#DIV/0!</v>
      </c>
      <c r="D15" s="37" t="e">
        <f t="shared" si="0"/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369.54947470007653</v>
      </c>
      <c r="H15" s="37" t="e">
        <f t="shared" si="0"/>
        <v>#DIV/0!</v>
      </c>
      <c r="I15" s="37" t="e">
        <f t="shared" si="0"/>
        <v>#DIV/0!</v>
      </c>
      <c r="J15" s="37" t="e">
        <f t="shared" si="0"/>
        <v>#DIV/0!</v>
      </c>
      <c r="K15" s="37" t="e">
        <f t="shared" si="0"/>
        <v>#DIV/0!</v>
      </c>
      <c r="L15" s="37" t="e">
        <f>+((L13/L17)^2-(L13^2))^(0.5)</f>
        <v>#DIV/0!</v>
      </c>
      <c r="M15" s="37" t="e">
        <f>+((M13/M17)^2-(M13^2))^(0.5)</f>
        <v>#DIV/0!</v>
      </c>
      <c r="N15" s="37" t="e">
        <f>+((N13/N17)^2-(N13^2))^(0.5)</f>
        <v>#DIV/0!</v>
      </c>
      <c r="O15" s="37"/>
      <c r="P15" s="4">
        <f>HLOOKUP(P13,B13:N15,3,FALSE)</f>
        <v>369.54947470007653</v>
      </c>
    </row>
    <row r="16" spans="1:16" x14ac:dyDescent="0.25">
      <c r="A16" s="3" t="s">
        <v>8</v>
      </c>
      <c r="B16" s="37">
        <f t="shared" ref="B16:K16" si="1">+B14/(24*B$8)</f>
        <v>0</v>
      </c>
      <c r="C16" s="37">
        <f t="shared" si="1"/>
        <v>0</v>
      </c>
      <c r="D16" s="37">
        <f t="shared" si="1"/>
        <v>0</v>
      </c>
      <c r="E16" s="37">
        <f t="shared" si="1"/>
        <v>0</v>
      </c>
      <c r="F16" s="37">
        <f t="shared" si="1"/>
        <v>0</v>
      </c>
      <c r="G16" s="37">
        <f t="shared" si="1"/>
        <v>3116.4640512379033</v>
      </c>
      <c r="H16" s="37">
        <f t="shared" si="1"/>
        <v>0</v>
      </c>
      <c r="I16" s="37">
        <f t="shared" si="1"/>
        <v>0</v>
      </c>
      <c r="J16" s="37">
        <f t="shared" si="1"/>
        <v>0</v>
      </c>
      <c r="K16" s="37">
        <f t="shared" si="1"/>
        <v>0</v>
      </c>
      <c r="L16" s="37">
        <f>+L14/(24*L$8)</f>
        <v>0</v>
      </c>
      <c r="M16" s="37">
        <f>+M14/(24*M$8)</f>
        <v>0</v>
      </c>
      <c r="N16" s="37">
        <f>+N14/(24*N$8)</f>
        <v>0</v>
      </c>
      <c r="O16" s="6">
        <f>SUM(O14)/(24*O$8)</f>
        <v>264.68598791335614</v>
      </c>
      <c r="P16" s="4">
        <f>O14/(COUNTIF(B14:N14,"&gt;0")*720)</f>
        <v>3220.3461862791664</v>
      </c>
    </row>
    <row r="17" spans="1:16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0.99636400000000003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0.99636400000000003</v>
      </c>
    </row>
    <row r="18" spans="1:16" x14ac:dyDescent="0.25">
      <c r="A18" s="3" t="s">
        <v>17</v>
      </c>
      <c r="B18" s="37" t="e">
        <f t="shared" ref="B18:F18" si="2">+B16/B13</f>
        <v>#DIV/0!</v>
      </c>
      <c r="C18" s="37" t="e">
        <f t="shared" si="2"/>
        <v>#DIV/0!</v>
      </c>
      <c r="D18" s="37" t="e">
        <f t="shared" si="2"/>
        <v>#DIV/0!</v>
      </c>
      <c r="E18" s="37" t="e">
        <f t="shared" si="2"/>
        <v>#DIV/0!</v>
      </c>
      <c r="F18" s="37" t="e">
        <f t="shared" si="2"/>
        <v>#DIV/0!</v>
      </c>
      <c r="G18" s="37">
        <f>+G16/G13</f>
        <v>0.72111297015943032</v>
      </c>
      <c r="H18" s="37" t="e">
        <f t="shared" ref="H18:K18" si="3">+H16/H13</f>
        <v>#DIV/0!</v>
      </c>
      <c r="I18" s="37" t="e">
        <f t="shared" si="3"/>
        <v>#DIV/0!</v>
      </c>
      <c r="J18" s="37" t="e">
        <f t="shared" si="3"/>
        <v>#DIV/0!</v>
      </c>
      <c r="K18" s="37" t="e">
        <f t="shared" si="3"/>
        <v>#DIV/0!</v>
      </c>
      <c r="L18" s="37" t="e">
        <f>+L16/L13</f>
        <v>#DIV/0!</v>
      </c>
      <c r="M18" s="37" t="e">
        <f>+M16/M13</f>
        <v>#DIV/0!</v>
      </c>
      <c r="N18" s="37" t="e">
        <f>+N16/N13</f>
        <v>#DIV/0!</v>
      </c>
      <c r="O18" s="6"/>
      <c r="P18" s="4">
        <f>+P16/P13</f>
        <v>0.74515006916474458</v>
      </c>
    </row>
    <row r="19" spans="1:16" s="24" customFormat="1" x14ac:dyDescent="0.25">
      <c r="A19" s="271" t="s">
        <v>205</v>
      </c>
      <c r="B19" s="66"/>
      <c r="C19" s="65"/>
      <c r="D19" s="65"/>
      <c r="E19" s="65"/>
      <c r="F19" s="65"/>
      <c r="G19" s="66"/>
      <c r="H19" s="66"/>
      <c r="I19" s="66"/>
      <c r="J19" s="66"/>
      <c r="K19" s="36"/>
      <c r="L19" s="50"/>
      <c r="M19" s="50"/>
      <c r="N19" s="66"/>
      <c r="O19" s="50"/>
      <c r="P19" s="50"/>
    </row>
    <row r="20" spans="1:16" x14ac:dyDescent="0.25">
      <c r="A20" s="3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3601.3290229999998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79"/>
      <c r="P20" s="47">
        <f>MAX(B20:N20)</f>
        <v>3601.3290229999998</v>
      </c>
    </row>
    <row r="21" spans="1:16" x14ac:dyDescent="0.25">
      <c r="A21" s="3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1649785.461014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1649785.461014</v>
      </c>
      <c r="P21" s="37">
        <f>SUM(B21:N21)/(COUNTIF(B21:N21,"&gt;0"))</f>
        <v>1649785.461014</v>
      </c>
    </row>
    <row r="22" spans="1:16" x14ac:dyDescent="0.25">
      <c r="A22" s="3" t="s">
        <v>16</v>
      </c>
      <c r="B22" s="37" t="e">
        <f t="shared" ref="B22:F22" si="4">+((B20/B24)^2-(B20^2))^(0.5)</f>
        <v>#DIV/0!</v>
      </c>
      <c r="C22" s="37" t="e">
        <f t="shared" si="4"/>
        <v>#DIV/0!</v>
      </c>
      <c r="D22" s="37" t="e">
        <f t="shared" si="4"/>
        <v>#DIV/0!</v>
      </c>
      <c r="E22" s="37" t="e">
        <f t="shared" si="4"/>
        <v>#DIV/0!</v>
      </c>
      <c r="F22" s="37" t="e">
        <f t="shared" si="4"/>
        <v>#DIV/0!</v>
      </c>
      <c r="G22" s="37">
        <f t="shared" ref="G22:K22" si="5">+((G20/G24)^2-(G20^2))^(0.5)</f>
        <v>693.81694378361647</v>
      </c>
      <c r="H22" s="37" t="e">
        <f t="shared" si="5"/>
        <v>#DIV/0!</v>
      </c>
      <c r="I22" s="37" t="e">
        <f t="shared" si="5"/>
        <v>#DIV/0!</v>
      </c>
      <c r="J22" s="37" t="e">
        <f t="shared" si="5"/>
        <v>#DIV/0!</v>
      </c>
      <c r="K22" s="37" t="e">
        <f t="shared" si="5"/>
        <v>#DIV/0!</v>
      </c>
      <c r="L22" s="37" t="e">
        <f>+((L20/L24)^2-(L20^2))^(0.5)</f>
        <v>#DIV/0!</v>
      </c>
      <c r="M22" s="37" t="e">
        <f>+((M20/M24)^2-(M20^2))^(0.5)</f>
        <v>#DIV/0!</v>
      </c>
      <c r="N22" s="37" t="e">
        <f>+((N20/N24)^2-(N20^2))^(0.5)</f>
        <v>#DIV/0!</v>
      </c>
      <c r="O22" s="37"/>
      <c r="P22" s="4">
        <f>HLOOKUP(P20,B20:N22,3,FALSE)</f>
        <v>693.81694378361647</v>
      </c>
    </row>
    <row r="23" spans="1:16" x14ac:dyDescent="0.25">
      <c r="A23" s="3" t="s">
        <v>8</v>
      </c>
      <c r="B23" s="37">
        <f t="shared" ref="B23:F23" si="6">+B21/(24*B$8)</f>
        <v>0</v>
      </c>
      <c r="C23" s="37">
        <f t="shared" si="6"/>
        <v>0</v>
      </c>
      <c r="D23" s="37">
        <f t="shared" si="6"/>
        <v>0</v>
      </c>
      <c r="E23" s="37">
        <f t="shared" si="6"/>
        <v>0</v>
      </c>
      <c r="F23" s="37">
        <f t="shared" si="6"/>
        <v>0</v>
      </c>
      <c r="G23" s="37">
        <f t="shared" ref="G23:K23" si="7">+G21/(24*G$8)</f>
        <v>2217.4535766317204</v>
      </c>
      <c r="H23" s="37">
        <f t="shared" si="7"/>
        <v>0</v>
      </c>
      <c r="I23" s="37">
        <f t="shared" si="7"/>
        <v>0</v>
      </c>
      <c r="J23" s="37">
        <f t="shared" si="7"/>
        <v>0</v>
      </c>
      <c r="K23" s="37">
        <f t="shared" si="7"/>
        <v>0</v>
      </c>
      <c r="L23" s="37">
        <f>+L21/(24*L$8)</f>
        <v>0</v>
      </c>
      <c r="M23" s="37">
        <f>+M21/(24*M$8)</f>
        <v>0</v>
      </c>
      <c r="N23" s="37">
        <f>+N21/(24*N$8)</f>
        <v>0</v>
      </c>
      <c r="O23" s="6">
        <f>SUM(O21)/(24*O$8)</f>
        <v>188.33167363173516</v>
      </c>
      <c r="P23" s="4">
        <f>O21/(COUNTIF(B21:N21,"&gt;0")*720)</f>
        <v>2291.3686958527778</v>
      </c>
    </row>
    <row r="24" spans="1:16" x14ac:dyDescent="0.25">
      <c r="A24" s="3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0.98194300000000001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0.98194300000000001</v>
      </c>
    </row>
    <row r="25" spans="1:16" x14ac:dyDescent="0.25">
      <c r="A25" s="3" t="s">
        <v>17</v>
      </c>
      <c r="B25" s="37" t="e">
        <f t="shared" ref="B25:K25" si="8">+B23/B20</f>
        <v>#DIV/0!</v>
      </c>
      <c r="C25" s="37" t="e">
        <f t="shared" si="8"/>
        <v>#DIV/0!</v>
      </c>
      <c r="D25" s="37" t="e">
        <f t="shared" si="8"/>
        <v>#DIV/0!</v>
      </c>
      <c r="E25" s="37" t="e">
        <f t="shared" si="8"/>
        <v>#DIV/0!</v>
      </c>
      <c r="F25" s="37" t="e">
        <f t="shared" si="8"/>
        <v>#DIV/0!</v>
      </c>
      <c r="G25" s="37">
        <f t="shared" si="8"/>
        <v>0.61573201517269993</v>
      </c>
      <c r="H25" s="37" t="e">
        <f t="shared" si="8"/>
        <v>#DIV/0!</v>
      </c>
      <c r="I25" s="37" t="e">
        <f t="shared" si="8"/>
        <v>#DIV/0!</v>
      </c>
      <c r="J25" s="37" t="e">
        <f t="shared" si="8"/>
        <v>#DIV/0!</v>
      </c>
      <c r="K25" s="37" t="e">
        <f t="shared" si="8"/>
        <v>#DIV/0!</v>
      </c>
      <c r="L25" s="37" t="e">
        <f>+L23/L20</f>
        <v>#DIV/0!</v>
      </c>
      <c r="M25" s="37" t="e">
        <f>+M23/M20</f>
        <v>#DIV/0!</v>
      </c>
      <c r="N25" s="37" t="e">
        <f>+N23/N20</f>
        <v>#DIV/0!</v>
      </c>
      <c r="O25" s="6"/>
      <c r="P25" s="4">
        <f>+P23/P20</f>
        <v>0.63625641567845659</v>
      </c>
    </row>
    <row r="26" spans="1:16" s="24" customFormat="1" x14ac:dyDescent="0.25">
      <c r="A26" s="271" t="s">
        <v>206</v>
      </c>
      <c r="B26" s="66"/>
      <c r="C26" s="65"/>
      <c r="D26" s="65"/>
      <c r="E26" s="65"/>
      <c r="F26" s="65"/>
      <c r="G26" s="66"/>
      <c r="H26" s="66"/>
      <c r="I26" s="66"/>
      <c r="J26" s="66"/>
      <c r="K26" s="36"/>
      <c r="L26" s="50"/>
      <c r="M26" s="50"/>
      <c r="N26" s="66"/>
      <c r="O26" s="50"/>
      <c r="P26" s="50"/>
    </row>
    <row r="27" spans="1:16" x14ac:dyDescent="0.25">
      <c r="A27" s="3" t="s">
        <v>6</v>
      </c>
      <c r="B27" s="380">
        <f>VLOOKUP($A$26,TABLA_1[],5,FALSE)</f>
        <v>0</v>
      </c>
      <c r="C27" s="380">
        <f>VLOOKUP($A$26,TABLA_2[],5,FALSE)</f>
        <v>0</v>
      </c>
      <c r="D27" s="380">
        <f>VLOOKUP($A$26,TABLA_3[],5,FALSE)</f>
        <v>0</v>
      </c>
      <c r="E27" s="380">
        <f>VLOOKUP($A$26,TABLA_4[],5,FALSE)</f>
        <v>0</v>
      </c>
      <c r="F27" s="380">
        <f>VLOOKUP($A$26,TABLA_5[],5,FALSE)</f>
        <v>0</v>
      </c>
      <c r="G27" s="380">
        <f>VLOOKUP($A$26,TABLA_6[],5,FALSE)</f>
        <v>3775.0055419999999</v>
      </c>
      <c r="H27" s="380">
        <f>VLOOKUP($A$26,TABLA_7[],5,FALSE)</f>
        <v>0</v>
      </c>
      <c r="I27" s="380">
        <f>VLOOKUP($A$26,TABLA_8[],5,FALSE)</f>
        <v>0</v>
      </c>
      <c r="J27" s="380">
        <f>VLOOKUP($A$26,TABLA_9[],5,FALSE)</f>
        <v>0</v>
      </c>
      <c r="K27" s="380">
        <f>VLOOKUP($A$26,TABLA_10[],5,FALSE)</f>
        <v>0</v>
      </c>
      <c r="L27" s="380">
        <f>VLOOKUP($A$26,TABLA_11[],5,FALSE)</f>
        <v>0</v>
      </c>
      <c r="M27" s="380">
        <f>VLOOKUP($A$26,TABLA_12[],5,FALSE)</f>
        <v>0</v>
      </c>
      <c r="N27" s="380">
        <f>VLOOKUP($A$26,TABLA_13[],5,FALSE)</f>
        <v>0</v>
      </c>
      <c r="O27" s="79"/>
      <c r="P27" s="47">
        <f>MAX(B27:N27)</f>
        <v>3775.0055419999999</v>
      </c>
    </row>
    <row r="28" spans="1:16" x14ac:dyDescent="0.25">
      <c r="A28" s="3" t="s">
        <v>7</v>
      </c>
      <c r="B28" s="380">
        <f>VLOOKUP($A$26,TABLA_1[],8,FALSE)</f>
        <v>0</v>
      </c>
      <c r="C28" s="380">
        <f>VLOOKUP($A$26,TABLA_2[],8,FALSE)</f>
        <v>0</v>
      </c>
      <c r="D28" s="380">
        <f>VLOOKUP($A$26,TABLA_3[],8,FALSE)</f>
        <v>0</v>
      </c>
      <c r="E28" s="380">
        <f>VLOOKUP($A$26,TABLA_4[],8,FALSE)</f>
        <v>0</v>
      </c>
      <c r="F28" s="380">
        <f>VLOOKUP($A$26,TABLA_5[],8,FALSE)</f>
        <v>0</v>
      </c>
      <c r="G28" s="380">
        <f>VLOOKUP($A$26,TABLA_6[],8,FALSE)</f>
        <v>1399999.638215</v>
      </c>
      <c r="H28" s="380">
        <f>VLOOKUP($A$26,TABLA_7[],8,FALSE)</f>
        <v>0</v>
      </c>
      <c r="I28" s="380">
        <f>VLOOKUP($A$26,TABLA_8[],8,FALSE)</f>
        <v>0</v>
      </c>
      <c r="J28" s="380">
        <f>VLOOKUP($A$26,TABLA_9[],8,FALSE)</f>
        <v>0</v>
      </c>
      <c r="K28" s="380">
        <f>VLOOKUP($A$26,TABLA_10[],8,FALSE)</f>
        <v>0</v>
      </c>
      <c r="L28" s="380">
        <f>VLOOKUP($A$26,TABLA_11[],8,FALSE)</f>
        <v>0</v>
      </c>
      <c r="M28" s="380">
        <f>VLOOKUP($A$26,TABLA_12[],8,FALSE)</f>
        <v>0</v>
      </c>
      <c r="N28" s="380">
        <f>VLOOKUP($A$26,TABLA_13[],8,FALSE)</f>
        <v>0</v>
      </c>
      <c r="O28" s="47">
        <f>SUM(B28:N28)</f>
        <v>1399999.638215</v>
      </c>
      <c r="P28" s="37">
        <f>SUM(B28:N28)/(COUNTIF(B28:N28,"&gt;0"))</f>
        <v>1399999.638215</v>
      </c>
    </row>
    <row r="29" spans="1:16" x14ac:dyDescent="0.25">
      <c r="A29" s="3" t="s">
        <v>16</v>
      </c>
      <c r="B29" s="338">
        <v>854.58333333333383</v>
      </c>
      <c r="C29" s="37" t="e">
        <f t="shared" ref="C29:K29" si="9">+((C27/C31)^2-(C27^2))^(0.5)</f>
        <v>#DIV/0!</v>
      </c>
      <c r="D29" s="37" t="e">
        <f t="shared" si="9"/>
        <v>#DIV/0!</v>
      </c>
      <c r="E29" s="37" t="e">
        <f t="shared" si="9"/>
        <v>#DIV/0!</v>
      </c>
      <c r="F29" s="37" t="e">
        <f t="shared" si="9"/>
        <v>#DIV/0!</v>
      </c>
      <c r="G29" s="37">
        <f t="shared" si="9"/>
        <v>687.36485024266824</v>
      </c>
      <c r="H29" s="37" t="e">
        <f t="shared" si="9"/>
        <v>#DIV/0!</v>
      </c>
      <c r="I29" s="37" t="e">
        <f t="shared" si="9"/>
        <v>#DIV/0!</v>
      </c>
      <c r="J29" s="37" t="e">
        <f t="shared" si="9"/>
        <v>#DIV/0!</v>
      </c>
      <c r="K29" s="37" t="e">
        <f t="shared" si="9"/>
        <v>#DIV/0!</v>
      </c>
      <c r="L29" s="37" t="e">
        <f>+((L27/L31)^2-(L27^2))^(0.5)</f>
        <v>#DIV/0!</v>
      </c>
      <c r="M29" s="37" t="e">
        <f>+((M27/M31)^2-(M27^2))^(0.5)</f>
        <v>#DIV/0!</v>
      </c>
      <c r="N29" s="37" t="e">
        <f>+((N27/N31)^2-(N27^2))^(0.5)</f>
        <v>#DIV/0!</v>
      </c>
      <c r="O29" s="37"/>
      <c r="P29" s="4">
        <f>HLOOKUP(P27,B27:N29,3,FALSE)</f>
        <v>687.36485024266824</v>
      </c>
    </row>
    <row r="30" spans="1:16" x14ac:dyDescent="0.25">
      <c r="A30" s="3" t="s">
        <v>8</v>
      </c>
      <c r="B30" s="338">
        <v>1484.3360215053763</v>
      </c>
      <c r="C30" s="37">
        <f t="shared" ref="C30:K30" si="10">+C28/(24*C$8)</f>
        <v>0</v>
      </c>
      <c r="D30" s="37">
        <f t="shared" si="10"/>
        <v>0</v>
      </c>
      <c r="E30" s="37">
        <f t="shared" si="10"/>
        <v>0</v>
      </c>
      <c r="F30" s="37">
        <f t="shared" si="10"/>
        <v>0</v>
      </c>
      <c r="G30" s="37">
        <f t="shared" si="10"/>
        <v>1881.7199438373657</v>
      </c>
      <c r="H30" s="37">
        <f t="shared" si="10"/>
        <v>0</v>
      </c>
      <c r="I30" s="37">
        <f t="shared" si="10"/>
        <v>0</v>
      </c>
      <c r="J30" s="37">
        <f t="shared" si="10"/>
        <v>0</v>
      </c>
      <c r="K30" s="37">
        <f t="shared" si="10"/>
        <v>0</v>
      </c>
      <c r="L30" s="37">
        <f>+L28/(24*L$8)</f>
        <v>0</v>
      </c>
      <c r="M30" s="37">
        <f>+M28/(24*M$8)</f>
        <v>0</v>
      </c>
      <c r="N30" s="37">
        <f>+N28/(24*N$8)</f>
        <v>0</v>
      </c>
      <c r="O30" s="6">
        <f>SUM(O28)/(24*O$8)</f>
        <v>159.81731029851599</v>
      </c>
      <c r="P30" s="4">
        <f>O28/(COUNTIF(B28:N28,"&gt;0")*720)</f>
        <v>1944.4439419652779</v>
      </c>
    </row>
    <row r="31" spans="1:16" x14ac:dyDescent="0.25">
      <c r="A31" s="3" t="s">
        <v>9</v>
      </c>
      <c r="B31" s="380">
        <f>VLOOKUP($A$26,TABLA_1[],10,FALSE)</f>
        <v>0</v>
      </c>
      <c r="C31" s="380">
        <f>VLOOKUP($A$26,TABLA_2[],10,FALSE)</f>
        <v>0</v>
      </c>
      <c r="D31" s="380">
        <f>VLOOKUP($A$26,TABLA_3[],10,FALSE)</f>
        <v>0</v>
      </c>
      <c r="E31" s="380">
        <f>VLOOKUP($A$26,TABLA_4[],10,FALSE)</f>
        <v>0</v>
      </c>
      <c r="F31" s="380">
        <f>VLOOKUP($A$26,TABLA_5[],10,FALSE)</f>
        <v>0</v>
      </c>
      <c r="G31" s="380">
        <f>VLOOKUP($A$26,TABLA_6[],10,FALSE)</f>
        <v>0.98382400000000003</v>
      </c>
      <c r="H31" s="380">
        <f>VLOOKUP($A$26,TABLA_7[],10,FALSE)</f>
        <v>0</v>
      </c>
      <c r="I31" s="380">
        <f>VLOOKUP($A$26,TABLA_8[],10,FALSE)</f>
        <v>0</v>
      </c>
      <c r="J31" s="380">
        <f>VLOOKUP($A$26,TABLA_9[],10,FALSE)</f>
        <v>0</v>
      </c>
      <c r="K31" s="380">
        <f>VLOOKUP($A$26,TABLA_10[],10,FALSE)</f>
        <v>0</v>
      </c>
      <c r="L31" s="380">
        <f>VLOOKUP($A$26,TABLA_11[],10,FALSE)</f>
        <v>0</v>
      </c>
      <c r="M31" s="380">
        <f>VLOOKUP($A$26,TABLA_12[],10,FALSE)</f>
        <v>0</v>
      </c>
      <c r="N31" s="380">
        <f>VLOOKUP($A$26,TABLA_13[],10,FALSE)</f>
        <v>0</v>
      </c>
      <c r="O31" s="6"/>
      <c r="P31" s="4">
        <f>COS(ATAN(P29/P27))</f>
        <v>0.98382400000000003</v>
      </c>
    </row>
    <row r="32" spans="1:16" x14ac:dyDescent="0.25">
      <c r="A32" s="3" t="s">
        <v>17</v>
      </c>
      <c r="B32" s="338">
        <v>0.50659932474586222</v>
      </c>
      <c r="C32" s="37" t="e">
        <f t="shared" ref="C32:K32" si="11">+C30/C27</f>
        <v>#DIV/0!</v>
      </c>
      <c r="D32" s="37" t="e">
        <f t="shared" si="11"/>
        <v>#DIV/0!</v>
      </c>
      <c r="E32" s="37" t="e">
        <f t="shared" si="11"/>
        <v>#DIV/0!</v>
      </c>
      <c r="F32" s="37" t="e">
        <f t="shared" si="11"/>
        <v>#DIV/0!</v>
      </c>
      <c r="G32" s="37">
        <f>+G30/G27</f>
        <v>0.4984681275038419</v>
      </c>
      <c r="H32" s="37" t="e">
        <f t="shared" si="11"/>
        <v>#DIV/0!</v>
      </c>
      <c r="I32" s="37" t="e">
        <f t="shared" si="11"/>
        <v>#DIV/0!</v>
      </c>
      <c r="J32" s="37" t="e">
        <f t="shared" si="11"/>
        <v>#DIV/0!</v>
      </c>
      <c r="K32" s="37" t="e">
        <f t="shared" si="11"/>
        <v>#DIV/0!</v>
      </c>
      <c r="L32" s="37" t="e">
        <f>+L30/L27</f>
        <v>#DIV/0!</v>
      </c>
      <c r="M32" s="37" t="e">
        <f>+M30/M27</f>
        <v>#DIV/0!</v>
      </c>
      <c r="N32" s="37" t="e">
        <f>+N30/N27</f>
        <v>#DIV/0!</v>
      </c>
      <c r="O32" s="6"/>
      <c r="P32" s="4">
        <f>+P30/P27</f>
        <v>0.51508373175396993</v>
      </c>
    </row>
    <row r="33" spans="1:17" s="24" customFormat="1" x14ac:dyDescent="0.25">
      <c r="A33" s="271" t="s">
        <v>207</v>
      </c>
      <c r="B33" s="66"/>
      <c r="C33" s="262"/>
      <c r="D33" s="262"/>
      <c r="E33" s="262"/>
      <c r="F33" s="65"/>
      <c r="G33" s="66"/>
      <c r="H33" s="66"/>
      <c r="I33" s="66"/>
      <c r="J33" s="66"/>
      <c r="K33" s="36"/>
      <c r="L33" s="50"/>
      <c r="M33" s="50"/>
      <c r="N33" s="66"/>
      <c r="O33" s="50"/>
      <c r="P33" s="50"/>
    </row>
    <row r="34" spans="1:17" x14ac:dyDescent="0.25">
      <c r="A34" s="3" t="s">
        <v>6</v>
      </c>
      <c r="B34" s="380">
        <f>VLOOKUP($A$33,TABLA_1[],5,FALSE)</f>
        <v>0</v>
      </c>
      <c r="C34" s="380">
        <f>VLOOKUP($A$33,TABLA_2[],5,FALSE)</f>
        <v>0</v>
      </c>
      <c r="D34" s="380">
        <f>VLOOKUP($A$33,TABLA_3[],5,FALSE)</f>
        <v>0</v>
      </c>
      <c r="E34" s="380">
        <f>VLOOKUP($A$33,TABLA_4[],5,FALSE)</f>
        <v>0</v>
      </c>
      <c r="F34" s="380">
        <f>VLOOKUP($A$33,TABLA_5[],5,FALSE)</f>
        <v>0</v>
      </c>
      <c r="G34" s="380">
        <f>VLOOKUP($A$33,TABLA_6[],5,FALSE)</f>
        <v>4724.5716140000004</v>
      </c>
      <c r="H34" s="380">
        <f>VLOOKUP($A$33,TABLA_7[],5,FALSE)</f>
        <v>0</v>
      </c>
      <c r="I34" s="380">
        <f>VLOOKUP($A$33,TABLA_8[],5,FALSE)</f>
        <v>0</v>
      </c>
      <c r="J34" s="380">
        <f>VLOOKUP($A$33,TABLA_9[],5,FALSE)</f>
        <v>0</v>
      </c>
      <c r="K34" s="380">
        <f>VLOOKUP($A$33,TABLA_10[],5,FALSE)</f>
        <v>0</v>
      </c>
      <c r="L34" s="380">
        <f>VLOOKUP($A$33,TABLA_11[],5,FALSE)</f>
        <v>0</v>
      </c>
      <c r="M34" s="380">
        <f>VLOOKUP($A$33,TABLA_12[],5,FALSE)</f>
        <v>0</v>
      </c>
      <c r="N34" s="380">
        <f>VLOOKUP($A$33,TABLA_13[],5,FALSE)</f>
        <v>0</v>
      </c>
      <c r="O34" s="79"/>
      <c r="P34" s="47">
        <f>MAX(B34:N34)</f>
        <v>4724.5716140000004</v>
      </c>
    </row>
    <row r="35" spans="1:17" x14ac:dyDescent="0.25">
      <c r="A35" s="3" t="s">
        <v>7</v>
      </c>
      <c r="B35" s="380">
        <f>VLOOKUP($A$33,TABLA_1[],8,FALSE)</f>
        <v>0</v>
      </c>
      <c r="C35" s="380">
        <f>VLOOKUP($A$33,TABLA_2[],8,FALSE)</f>
        <v>0</v>
      </c>
      <c r="D35" s="380">
        <f>VLOOKUP($A$33,TABLA_3[],8,FALSE)</f>
        <v>0</v>
      </c>
      <c r="E35" s="380">
        <f>VLOOKUP($A$33,TABLA_4[],8,FALSE)</f>
        <v>0</v>
      </c>
      <c r="F35" s="380">
        <f>VLOOKUP($A$33,TABLA_5[],8,FALSE)</f>
        <v>0</v>
      </c>
      <c r="G35" s="380">
        <f>VLOOKUP($A$33,TABLA_6[],8,FALSE)</f>
        <v>2188195.1390269999</v>
      </c>
      <c r="H35" s="380">
        <f>VLOOKUP($A$33,TABLA_7[],8,FALSE)</f>
        <v>0</v>
      </c>
      <c r="I35" s="380">
        <f>VLOOKUP($A$33,TABLA_8[],8,FALSE)</f>
        <v>0</v>
      </c>
      <c r="J35" s="380">
        <f>VLOOKUP($A$33,TABLA_9[],8,FALSE)</f>
        <v>0</v>
      </c>
      <c r="K35" s="380">
        <f>VLOOKUP($A$33,TABLA_10[],8,FALSE)</f>
        <v>0</v>
      </c>
      <c r="L35" s="380">
        <f>VLOOKUP($A$33,TABLA_11[],8,FALSE)</f>
        <v>0</v>
      </c>
      <c r="M35" s="380">
        <f>VLOOKUP($A$33,TABLA_12[],8,FALSE)</f>
        <v>0</v>
      </c>
      <c r="N35" s="380">
        <f>VLOOKUP($A$33,TABLA_13[],8,FALSE)</f>
        <v>0</v>
      </c>
      <c r="O35" s="47">
        <f>SUM(B35:N35)</f>
        <v>2188195.1390269999</v>
      </c>
      <c r="P35" s="37">
        <f>SUM(B35:N35)/(COUNTIF(B35:N35,"&gt;0"))</f>
        <v>2188195.1390269999</v>
      </c>
    </row>
    <row r="36" spans="1:17" x14ac:dyDescent="0.25">
      <c r="A36" s="3" t="s">
        <v>16</v>
      </c>
      <c r="B36" s="37" t="e">
        <f t="shared" ref="B36:F36" si="12">+((B34/B38)^2-(B34^2))^(0.5)</f>
        <v>#DIV/0!</v>
      </c>
      <c r="C36" s="37" t="e">
        <f t="shared" si="12"/>
        <v>#DIV/0!</v>
      </c>
      <c r="D36" s="37" t="e">
        <f t="shared" si="12"/>
        <v>#DIV/0!</v>
      </c>
      <c r="E36" s="37" t="e">
        <f t="shared" si="12"/>
        <v>#DIV/0!</v>
      </c>
      <c r="F36" s="37" t="e">
        <f t="shared" si="12"/>
        <v>#DIV/0!</v>
      </c>
      <c r="G36" s="37">
        <f t="shared" ref="G36:K36" si="13">+((G34/G38)^2-(G34^2))^(0.5)</f>
        <v>790.11000162884545</v>
      </c>
      <c r="H36" s="37" t="e">
        <f t="shared" si="13"/>
        <v>#DIV/0!</v>
      </c>
      <c r="I36" s="37" t="e">
        <f t="shared" si="13"/>
        <v>#DIV/0!</v>
      </c>
      <c r="J36" s="37" t="e">
        <f t="shared" si="13"/>
        <v>#DIV/0!</v>
      </c>
      <c r="K36" s="37" t="e">
        <f t="shared" si="13"/>
        <v>#DIV/0!</v>
      </c>
      <c r="L36" s="37" t="e">
        <f>+((L34/L38)^2-(L34^2))^(0.5)</f>
        <v>#DIV/0!</v>
      </c>
      <c r="M36" s="37" t="e">
        <f>+((M34/M38)^2-(M34^2))^(0.5)</f>
        <v>#DIV/0!</v>
      </c>
      <c r="N36" s="37" t="e">
        <f>+((N34/N38)^2-(N34^2))^(0.5)</f>
        <v>#DIV/0!</v>
      </c>
      <c r="O36" s="37"/>
      <c r="P36" s="4">
        <f>HLOOKUP(P34,B34:N36,3,FALSE)</f>
        <v>790.11000162884545</v>
      </c>
    </row>
    <row r="37" spans="1:17" x14ac:dyDescent="0.25">
      <c r="A37" s="3" t="s">
        <v>8</v>
      </c>
      <c r="B37" s="37">
        <f t="shared" ref="B37:F37" si="14">+B35/(24*B$8)</f>
        <v>0</v>
      </c>
      <c r="C37" s="37">
        <f t="shared" si="14"/>
        <v>0</v>
      </c>
      <c r="D37" s="37">
        <f t="shared" si="14"/>
        <v>0</v>
      </c>
      <c r="E37" s="37">
        <f t="shared" si="14"/>
        <v>0</v>
      </c>
      <c r="F37" s="37">
        <f t="shared" si="14"/>
        <v>0</v>
      </c>
      <c r="G37" s="37">
        <f t="shared" ref="G37:K37" si="15">+G35/(24*G$8)</f>
        <v>2941.1224986922043</v>
      </c>
      <c r="H37" s="37">
        <f t="shared" si="15"/>
        <v>0</v>
      </c>
      <c r="I37" s="37">
        <f t="shared" si="15"/>
        <v>0</v>
      </c>
      <c r="J37" s="37">
        <f t="shared" si="15"/>
        <v>0</v>
      </c>
      <c r="K37" s="37">
        <f t="shared" si="15"/>
        <v>0</v>
      </c>
      <c r="L37" s="37">
        <f>+L35/(24*L$8)</f>
        <v>0</v>
      </c>
      <c r="M37" s="37">
        <f>+M35/(24*M$8)</f>
        <v>0</v>
      </c>
      <c r="N37" s="37">
        <f>+N35/(24*N$8)</f>
        <v>0</v>
      </c>
      <c r="O37" s="6">
        <f>SUM(O35)/(24*O$8)</f>
        <v>249.79396564235159</v>
      </c>
      <c r="P37" s="4">
        <f>O35/(COUNTIF(B35:N35,"&gt;0")*720)</f>
        <v>3039.1599153152779</v>
      </c>
    </row>
    <row r="38" spans="1:17" x14ac:dyDescent="0.25">
      <c r="A38" s="3" t="s">
        <v>9</v>
      </c>
      <c r="B38" s="380">
        <f>VLOOKUP($A$33,TABLA_1[],10,FALSE)</f>
        <v>0</v>
      </c>
      <c r="C38" s="380">
        <f>VLOOKUP($A$33,TABLA_2[],10,FALSE)</f>
        <v>0</v>
      </c>
      <c r="D38" s="380">
        <f>VLOOKUP($A$33,TABLA_3[],10,FALSE)</f>
        <v>0</v>
      </c>
      <c r="E38" s="380">
        <f>VLOOKUP($A$33,TABLA_4[],10,FALSE)</f>
        <v>0</v>
      </c>
      <c r="F38" s="380">
        <f>VLOOKUP($A$33,TABLA_5[],10,FALSE)</f>
        <v>0</v>
      </c>
      <c r="G38" s="380">
        <f>VLOOKUP($A$33,TABLA_6[],10,FALSE)</f>
        <v>0.98630300000000004</v>
      </c>
      <c r="H38" s="380">
        <f>VLOOKUP($A$33,TABLA_7[],10,FALSE)</f>
        <v>0</v>
      </c>
      <c r="I38" s="380">
        <f>VLOOKUP($A$33,TABLA_8[],10,FALSE)</f>
        <v>0</v>
      </c>
      <c r="J38" s="380">
        <f>VLOOKUP($A$33,TABLA_9[],10,FALSE)</f>
        <v>0</v>
      </c>
      <c r="K38" s="380">
        <f>VLOOKUP($A$33,TABLA_10[],10,FALSE)</f>
        <v>0</v>
      </c>
      <c r="L38" s="380">
        <f>VLOOKUP($A$33,TABLA_11[],10,FALSE)</f>
        <v>0</v>
      </c>
      <c r="M38" s="380">
        <f>VLOOKUP($A$33,TABLA_12[],10,FALSE)</f>
        <v>0</v>
      </c>
      <c r="N38" s="380">
        <f>VLOOKUP($A$33,TABLA_13[],10,FALSE)</f>
        <v>0</v>
      </c>
      <c r="O38" s="6"/>
      <c r="P38" s="4">
        <f>COS(ATAN(P36/P34))</f>
        <v>0.98630300000000015</v>
      </c>
    </row>
    <row r="39" spans="1:17" x14ac:dyDescent="0.25">
      <c r="A39" s="3" t="s">
        <v>17</v>
      </c>
      <c r="B39" s="37" t="e">
        <f t="shared" ref="B39:K39" si="16">+B37/B34</f>
        <v>#DIV/0!</v>
      </c>
      <c r="C39" s="37" t="e">
        <f t="shared" si="16"/>
        <v>#DIV/0!</v>
      </c>
      <c r="D39" s="37" t="e">
        <f t="shared" si="16"/>
        <v>#DIV/0!</v>
      </c>
      <c r="E39" s="37" t="e">
        <f t="shared" si="16"/>
        <v>#DIV/0!</v>
      </c>
      <c r="F39" s="37" t="e">
        <f t="shared" si="16"/>
        <v>#DIV/0!</v>
      </c>
      <c r="G39" s="37">
        <f t="shared" si="16"/>
        <v>0.62251622770982595</v>
      </c>
      <c r="H39" s="37" t="e">
        <f t="shared" si="16"/>
        <v>#DIV/0!</v>
      </c>
      <c r="I39" s="37" t="e">
        <f t="shared" si="16"/>
        <v>#DIV/0!</v>
      </c>
      <c r="J39" s="37" t="e">
        <f>+J37/J34</f>
        <v>#DIV/0!</v>
      </c>
      <c r="K39" s="37" t="e">
        <f t="shared" si="16"/>
        <v>#DIV/0!</v>
      </c>
      <c r="L39" s="37" t="e">
        <f>+L37/L34</f>
        <v>#DIV/0!</v>
      </c>
      <c r="M39" s="37" t="e">
        <f>+M37/M34</f>
        <v>#DIV/0!</v>
      </c>
      <c r="N39" s="37" t="e">
        <f>+N37/N34</f>
        <v>#DIV/0!</v>
      </c>
      <c r="O39" s="6"/>
      <c r="P39" s="4">
        <f>+P37/P34</f>
        <v>0.64326676863348686</v>
      </c>
    </row>
    <row r="40" spans="1:17" s="24" customFormat="1" x14ac:dyDescent="0.25">
      <c r="A40" s="271" t="s">
        <v>208</v>
      </c>
      <c r="B40" s="66"/>
      <c r="C40" s="262"/>
      <c r="D40" s="262"/>
      <c r="E40" s="262"/>
      <c r="F40" s="65"/>
      <c r="G40" s="66"/>
      <c r="H40" s="66"/>
      <c r="I40" s="66"/>
      <c r="J40" s="66"/>
      <c r="K40" s="36"/>
      <c r="L40" s="50"/>
      <c r="M40" s="50"/>
      <c r="N40" s="66"/>
      <c r="O40" s="50"/>
      <c r="P40" s="50"/>
    </row>
    <row r="41" spans="1:17" x14ac:dyDescent="0.25">
      <c r="A41" s="3" t="s">
        <v>6</v>
      </c>
      <c r="B41" s="380">
        <f>VLOOKUP($A$40,TABLA_1[],5,FALSE)</f>
        <v>0</v>
      </c>
      <c r="C41" s="380">
        <f>VLOOKUP($A$40,TABLA_2[],5,FALSE)</f>
        <v>0</v>
      </c>
      <c r="D41" s="380">
        <f>VLOOKUP($A$40,TABLA_3[],5,FALSE)</f>
        <v>0</v>
      </c>
      <c r="E41" s="380">
        <f>VLOOKUP($A$40,TABLA_4[],5,FALSE)</f>
        <v>0</v>
      </c>
      <c r="F41" s="380">
        <f>VLOOKUP($A$40,TABLA_5[],5,FALSE)</f>
        <v>0</v>
      </c>
      <c r="G41" s="380">
        <f>VLOOKUP($A$40,TABLA_6[],5,FALSE)</f>
        <v>1723.0149939999999</v>
      </c>
      <c r="H41" s="380">
        <f>VLOOKUP($A$40,TABLA_7[],5,FALSE)</f>
        <v>0</v>
      </c>
      <c r="I41" s="380">
        <f>VLOOKUP($A$40,TABLA_8[],5,FALSE)</f>
        <v>0</v>
      </c>
      <c r="J41" s="380">
        <f>VLOOKUP($A$40,TABLA_9[],5,FALSE)</f>
        <v>0</v>
      </c>
      <c r="K41" s="380">
        <f>VLOOKUP($A$40,TABLA_10[],5,FALSE)</f>
        <v>0</v>
      </c>
      <c r="L41" s="380">
        <f>VLOOKUP($A$40,TABLA_11[],5,FALSE)</f>
        <v>0</v>
      </c>
      <c r="M41" s="380">
        <f>VLOOKUP($A$40,TABLA_12[],5,FALSE)</f>
        <v>0</v>
      </c>
      <c r="N41" s="380">
        <f>VLOOKUP($A$40,TABLA_13[],5,FALSE)</f>
        <v>0</v>
      </c>
      <c r="O41" s="79"/>
      <c r="P41" s="47">
        <f>MAX(B41:N41)</f>
        <v>1723.0149939999999</v>
      </c>
    </row>
    <row r="42" spans="1:17" x14ac:dyDescent="0.25">
      <c r="A42" s="3" t="s">
        <v>7</v>
      </c>
      <c r="B42" s="380">
        <f>VLOOKUP($A$40,TABLA_1[],8,FALSE)</f>
        <v>0</v>
      </c>
      <c r="C42" s="380">
        <f>VLOOKUP($A$40,TABLA_2[],8,FALSE)</f>
        <v>0</v>
      </c>
      <c r="D42" s="380">
        <f>VLOOKUP($A$40,TABLA_3[],8,FALSE)</f>
        <v>0</v>
      </c>
      <c r="E42" s="380">
        <f>VLOOKUP($A$40,TABLA_4[],8,FALSE)</f>
        <v>0</v>
      </c>
      <c r="F42" s="380">
        <f>VLOOKUP($A$40,TABLA_5[],8,FALSE)</f>
        <v>0</v>
      </c>
      <c r="G42" s="380">
        <f>VLOOKUP($A$40,TABLA_6[],8,FALSE)</f>
        <v>659831.73950599995</v>
      </c>
      <c r="H42" s="380">
        <f>VLOOKUP($A$40,TABLA_7[],8,FALSE)</f>
        <v>0</v>
      </c>
      <c r="I42" s="380">
        <f>VLOOKUP($A$40,TABLA_8[],8,FALSE)</f>
        <v>0</v>
      </c>
      <c r="J42" s="380">
        <f>VLOOKUP($A$40,TABLA_9[],8,FALSE)</f>
        <v>0</v>
      </c>
      <c r="K42" s="380">
        <f>VLOOKUP($A$40,TABLA_10[],8,FALSE)</f>
        <v>0</v>
      </c>
      <c r="L42" s="380">
        <f>VLOOKUP($A$40,TABLA_11[],8,FALSE)</f>
        <v>0</v>
      </c>
      <c r="M42" s="380">
        <f>VLOOKUP($A$40,TABLA_12[],8,FALSE)</f>
        <v>0</v>
      </c>
      <c r="N42" s="380">
        <f>VLOOKUP($A$40,TABLA_13[],8,FALSE)</f>
        <v>0</v>
      </c>
      <c r="O42" s="47">
        <f>SUM(B42:N42)</f>
        <v>659831.73950599995</v>
      </c>
      <c r="P42" s="37">
        <f>SUM(B42:N42)/(COUNTIF(B42:N42,"&gt;0"))</f>
        <v>659831.73950599995</v>
      </c>
      <c r="Q42" s="39"/>
    </row>
    <row r="43" spans="1:17" x14ac:dyDescent="0.25">
      <c r="A43" s="3" t="s">
        <v>16</v>
      </c>
      <c r="B43" s="37" t="e">
        <f t="shared" ref="B43:E43" si="17">+((B41/B45)^2-(B41^2))^(0.5)</f>
        <v>#DIV/0!</v>
      </c>
      <c r="C43" s="37" t="e">
        <f t="shared" si="17"/>
        <v>#DIV/0!</v>
      </c>
      <c r="D43" s="37" t="e">
        <f t="shared" si="17"/>
        <v>#DIV/0!</v>
      </c>
      <c r="E43" s="37" t="e">
        <f t="shared" si="17"/>
        <v>#DIV/0!</v>
      </c>
      <c r="F43" s="37" t="e">
        <f t="shared" ref="F43:K43" si="18">+((F41/F45)^2-(F41^2))^(0.5)</f>
        <v>#DIV/0!</v>
      </c>
      <c r="G43" s="37">
        <f t="shared" si="18"/>
        <v>633.68556639411497</v>
      </c>
      <c r="H43" s="37" t="e">
        <f t="shared" si="18"/>
        <v>#DIV/0!</v>
      </c>
      <c r="I43" s="37" t="e">
        <f t="shared" si="18"/>
        <v>#DIV/0!</v>
      </c>
      <c r="J43" s="37" t="e">
        <f t="shared" si="18"/>
        <v>#DIV/0!</v>
      </c>
      <c r="K43" s="37" t="e">
        <f t="shared" si="18"/>
        <v>#DIV/0!</v>
      </c>
      <c r="L43" s="37" t="e">
        <f>+((L41/L45)^2-(L41^2))^(0.5)</f>
        <v>#DIV/0!</v>
      </c>
      <c r="M43" s="37" t="e">
        <f>+((M41/M45)^2-(M41^2))^(0.5)</f>
        <v>#DIV/0!</v>
      </c>
      <c r="N43" s="37" t="e">
        <f>+((N41/N45)^2-(N41^2))^(0.5)</f>
        <v>#DIV/0!</v>
      </c>
      <c r="O43" s="37"/>
      <c r="P43" s="4">
        <f>HLOOKUP(P41,B41:N43,3,FALSE)</f>
        <v>633.68556639411497</v>
      </c>
    </row>
    <row r="44" spans="1:17" x14ac:dyDescent="0.25">
      <c r="A44" s="3" t="s">
        <v>8</v>
      </c>
      <c r="B44" s="37">
        <f t="shared" ref="B44:E44" si="19">+B42/(24*B$8)</f>
        <v>0</v>
      </c>
      <c r="C44" s="37">
        <f t="shared" si="19"/>
        <v>0</v>
      </c>
      <c r="D44" s="37">
        <f t="shared" si="19"/>
        <v>0</v>
      </c>
      <c r="E44" s="37">
        <f t="shared" si="19"/>
        <v>0</v>
      </c>
      <c r="F44" s="37">
        <f t="shared" ref="F44:K44" si="20">+F42/(24*F$8)</f>
        <v>0</v>
      </c>
      <c r="G44" s="37">
        <f t="shared" si="20"/>
        <v>886.8706176155913</v>
      </c>
      <c r="H44" s="37">
        <f t="shared" si="20"/>
        <v>0</v>
      </c>
      <c r="I44" s="37">
        <f t="shared" si="20"/>
        <v>0</v>
      </c>
      <c r="J44" s="37">
        <f t="shared" si="20"/>
        <v>0</v>
      </c>
      <c r="K44" s="37">
        <f t="shared" si="20"/>
        <v>0</v>
      </c>
      <c r="L44" s="37">
        <f>+L42/(24*L$8)</f>
        <v>0</v>
      </c>
      <c r="M44" s="37">
        <f>+M42/(24*M$8)</f>
        <v>0</v>
      </c>
      <c r="N44" s="37">
        <f>+N42/(24*N$8)</f>
        <v>0</v>
      </c>
      <c r="O44" s="6">
        <f>SUM(O42)/(24*O$8)</f>
        <v>75.323257934474881</v>
      </c>
      <c r="P44" s="4">
        <f>O42/(COUNTIF(B42:N42,"&gt;0")*720)</f>
        <v>916.43297153611104</v>
      </c>
    </row>
    <row r="45" spans="1:17" x14ac:dyDescent="0.25">
      <c r="A45" s="3" t="s">
        <v>9</v>
      </c>
      <c r="B45" s="380">
        <f>VLOOKUP($A$40,TABLA_1[],10,FALSE)</f>
        <v>0</v>
      </c>
      <c r="C45" s="380">
        <f>VLOOKUP($A$40,TABLA_2[],10,FALSE)</f>
        <v>0</v>
      </c>
      <c r="D45" s="380">
        <f>VLOOKUP($A$40,TABLA_3[],10,FALSE)</f>
        <v>0</v>
      </c>
      <c r="E45" s="380">
        <f>VLOOKUP($A$40,TABLA_4[],10,FALSE)</f>
        <v>0</v>
      </c>
      <c r="F45" s="380">
        <f>VLOOKUP($A$40,TABLA_5[],10,FALSE)</f>
        <v>0</v>
      </c>
      <c r="G45" s="380">
        <f>VLOOKUP($A$40,TABLA_6[],10,FALSE)</f>
        <v>0.93853900000000001</v>
      </c>
      <c r="H45" s="380">
        <f>VLOOKUP($A$40,TABLA_7[],10,FALSE)</f>
        <v>0</v>
      </c>
      <c r="I45" s="380">
        <f>VLOOKUP($A$40,TABLA_8[],10,FALSE)</f>
        <v>0</v>
      </c>
      <c r="J45" s="380">
        <f>VLOOKUP($A$40,TABLA_9[],10,FALSE)</f>
        <v>0</v>
      </c>
      <c r="K45" s="380">
        <f>VLOOKUP($A$40,TABLA_10[],10,FALSE)</f>
        <v>0</v>
      </c>
      <c r="L45" s="380">
        <f>VLOOKUP($A$40,TABLA_11[],10,FALSE)</f>
        <v>0</v>
      </c>
      <c r="M45" s="380">
        <f>VLOOKUP($A$40,TABLA_12[],10,FALSE)</f>
        <v>0</v>
      </c>
      <c r="N45" s="380">
        <f>VLOOKUP($A$40,TABLA_13[],10,FALSE)</f>
        <v>0</v>
      </c>
      <c r="O45" s="6"/>
      <c r="P45" s="4">
        <f>COS(ATAN(P43/P41))</f>
        <v>0.93853900000000001</v>
      </c>
    </row>
    <row r="46" spans="1:17" x14ac:dyDescent="0.25">
      <c r="A46" s="3" t="s">
        <v>17</v>
      </c>
      <c r="B46" s="37" t="e">
        <f t="shared" ref="B46:I46" si="21">+B44/B41</f>
        <v>#DIV/0!</v>
      </c>
      <c r="C46" s="37" t="e">
        <f t="shared" si="21"/>
        <v>#DIV/0!</v>
      </c>
      <c r="D46" s="37" t="e">
        <f t="shared" si="21"/>
        <v>#DIV/0!</v>
      </c>
      <c r="E46" s="37" t="e">
        <f t="shared" si="21"/>
        <v>#DIV/0!</v>
      </c>
      <c r="F46" s="37" t="e">
        <f t="shared" si="21"/>
        <v>#DIV/0!</v>
      </c>
      <c r="G46" s="37">
        <f t="shared" si="21"/>
        <v>0.51472019727275298</v>
      </c>
      <c r="H46" s="37" t="e">
        <f t="shared" si="21"/>
        <v>#DIV/0!</v>
      </c>
      <c r="I46" s="37" t="e">
        <f t="shared" si="21"/>
        <v>#DIV/0!</v>
      </c>
      <c r="J46" s="37" t="e">
        <f>+J44/J41</f>
        <v>#DIV/0!</v>
      </c>
      <c r="K46" s="37" t="e">
        <f>+K44/K41</f>
        <v>#DIV/0!</v>
      </c>
      <c r="L46" s="37" t="e">
        <f>+L44/L41</f>
        <v>#DIV/0!</v>
      </c>
      <c r="M46" s="37" t="e">
        <f>+M44/M41</f>
        <v>#DIV/0!</v>
      </c>
      <c r="N46" s="37" t="e">
        <f>+N44/N41</f>
        <v>#DIV/0!</v>
      </c>
      <c r="O46" s="6"/>
      <c r="P46" s="4">
        <f>+P44/P41</f>
        <v>0.53187753718184483</v>
      </c>
    </row>
    <row r="47" spans="1:17" x14ac:dyDescent="0.25">
      <c r="A47" s="90"/>
      <c r="B47" s="90"/>
      <c r="C47" s="77"/>
      <c r="D47" s="77"/>
      <c r="E47" s="77"/>
      <c r="F47" s="77"/>
      <c r="G47" s="77"/>
      <c r="H47" s="77"/>
      <c r="I47" s="77"/>
      <c r="J47" s="77"/>
      <c r="K47" s="77"/>
      <c r="L47" s="77"/>
      <c r="M47" s="77"/>
      <c r="N47" s="77"/>
      <c r="O47" s="77"/>
      <c r="P47" s="77"/>
    </row>
    <row r="48" spans="1:17" x14ac:dyDescent="0.25">
      <c r="A48" s="90"/>
      <c r="B48" s="90"/>
      <c r="C48" s="77"/>
      <c r="D48" s="77"/>
      <c r="E48" s="77"/>
      <c r="F48" s="77"/>
      <c r="G48" s="77"/>
      <c r="H48" s="77"/>
      <c r="I48" s="77"/>
      <c r="J48" s="77"/>
      <c r="K48" s="77"/>
      <c r="L48" s="77"/>
      <c r="M48" s="77"/>
      <c r="N48" s="77"/>
      <c r="O48" s="77"/>
      <c r="P48" s="77"/>
    </row>
    <row r="49" spans="1:18" x14ac:dyDescent="0.25">
      <c r="A49" s="7" t="s">
        <v>10</v>
      </c>
      <c r="B49" s="7"/>
      <c r="C49" s="72"/>
      <c r="D49" s="72"/>
      <c r="E49" s="72"/>
      <c r="F49" s="72"/>
      <c r="G49" s="73"/>
      <c r="H49" s="73"/>
      <c r="I49" s="73"/>
      <c r="J49" s="73"/>
      <c r="K49" s="73"/>
      <c r="L49" s="53"/>
      <c r="M49" s="53"/>
      <c r="N49" s="73"/>
      <c r="O49" s="53"/>
      <c r="P49" s="8"/>
    </row>
    <row r="50" spans="1:18" x14ac:dyDescent="0.25">
      <c r="A50" s="9" t="s">
        <v>11</v>
      </c>
      <c r="B50" s="62">
        <f>+B13+B20+B27+B34+B41</f>
        <v>0</v>
      </c>
      <c r="C50" s="62">
        <f>+C13+C20+C27+C34+C41</f>
        <v>0</v>
      </c>
      <c r="D50" s="62">
        <f t="shared" ref="D50:N50" si="22">+D13+D20+D27+D34+D41</f>
        <v>0</v>
      </c>
      <c r="E50" s="62">
        <f t="shared" si="22"/>
        <v>0</v>
      </c>
      <c r="F50" s="62">
        <f t="shared" si="22"/>
        <v>0</v>
      </c>
      <c r="G50" s="62">
        <f t="shared" si="22"/>
        <v>18145.662953000003</v>
      </c>
      <c r="H50" s="62">
        <f t="shared" si="22"/>
        <v>0</v>
      </c>
      <c r="I50" s="62">
        <f t="shared" si="22"/>
        <v>0</v>
      </c>
      <c r="J50" s="62">
        <f t="shared" si="22"/>
        <v>0</v>
      </c>
      <c r="K50" s="62">
        <f t="shared" si="22"/>
        <v>0</v>
      </c>
      <c r="L50" s="62">
        <f t="shared" si="22"/>
        <v>0</v>
      </c>
      <c r="M50" s="62">
        <f t="shared" si="22"/>
        <v>0</v>
      </c>
      <c r="N50" s="62">
        <f t="shared" si="22"/>
        <v>0</v>
      </c>
      <c r="O50" s="62"/>
      <c r="P50" s="42">
        <f>MAX(B50:N50)</f>
        <v>18145.662953000003</v>
      </c>
    </row>
    <row r="51" spans="1:18" x14ac:dyDescent="0.25">
      <c r="A51" s="9" t="s">
        <v>7</v>
      </c>
      <c r="B51" s="62">
        <f>+B14+B21+B28+B35+B42</f>
        <v>0</v>
      </c>
      <c r="C51" s="62">
        <f>+C14+C21+C28+C35+C42</f>
        <v>0</v>
      </c>
      <c r="D51" s="62">
        <f t="shared" ref="D51:N51" si="23">+D14+D21+D28+D35+D42</f>
        <v>0</v>
      </c>
      <c r="E51" s="62">
        <f t="shared" si="23"/>
        <v>0</v>
      </c>
      <c r="F51" s="62">
        <f t="shared" si="23"/>
        <v>0</v>
      </c>
      <c r="G51" s="62">
        <f t="shared" si="23"/>
        <v>8216461.2318829997</v>
      </c>
      <c r="H51" s="62">
        <f t="shared" si="23"/>
        <v>0</v>
      </c>
      <c r="I51" s="62">
        <f t="shared" si="23"/>
        <v>0</v>
      </c>
      <c r="J51" s="62">
        <f t="shared" si="23"/>
        <v>0</v>
      </c>
      <c r="K51" s="62">
        <f t="shared" si="23"/>
        <v>0</v>
      </c>
      <c r="L51" s="62">
        <f t="shared" si="23"/>
        <v>0</v>
      </c>
      <c r="M51" s="62">
        <f t="shared" si="23"/>
        <v>0</v>
      </c>
      <c r="N51" s="62">
        <f t="shared" si="23"/>
        <v>0</v>
      </c>
      <c r="O51" s="62">
        <f>SUM(B51:N51)</f>
        <v>8216461.2318829997</v>
      </c>
      <c r="P51" s="42"/>
    </row>
    <row r="52" spans="1:18" x14ac:dyDescent="0.25">
      <c r="A52" s="272" t="s">
        <v>12</v>
      </c>
      <c r="B52" s="376" t="s">
        <v>474</v>
      </c>
      <c r="C52" s="245"/>
      <c r="D52" s="245"/>
      <c r="E52" s="245"/>
      <c r="F52" s="245"/>
      <c r="G52" s="245"/>
      <c r="H52" s="245"/>
      <c r="I52" s="245"/>
      <c r="J52" s="245"/>
      <c r="K52" s="47"/>
      <c r="L52" s="47"/>
      <c r="M52" s="47"/>
      <c r="N52" s="245"/>
      <c r="O52" s="36"/>
      <c r="P52" s="3"/>
      <c r="Q52" s="43"/>
    </row>
    <row r="53" spans="1:18" x14ac:dyDescent="0.25">
      <c r="A53" s="3" t="s">
        <v>6</v>
      </c>
      <c r="B53" s="380">
        <f>VLOOKUP($B$52,BancoTabla_1[],5,FALSE)</f>
        <v>0</v>
      </c>
      <c r="C53" s="380">
        <f>VLOOKUP($B$52,BancoTabla_2[],5,FALSE)</f>
        <v>0</v>
      </c>
      <c r="D53" s="380">
        <f>VLOOKUP($B$52,BancoTabla_3[],5,FALSE)</f>
        <v>0</v>
      </c>
      <c r="E53" s="380">
        <f>VLOOKUP($B$52,BancoTabla_4[],5,FALSE)</f>
        <v>0</v>
      </c>
      <c r="F53" s="380">
        <f>VLOOKUP($B$52,BancoTabla_5[],5,FALSE)</f>
        <v>0</v>
      </c>
      <c r="G53" s="380">
        <f>VLOOKUP($B$52,BancoTabla_6[],5,FALSE)</f>
        <v>16357.833495999999</v>
      </c>
      <c r="H53" s="380">
        <f>VLOOKUP($B$52,BancoTabla_7[],5,FALSE)</f>
        <v>0</v>
      </c>
      <c r="I53" s="380">
        <f>VLOOKUP($B$52,BancoTabla_8[],5,FALSE)</f>
        <v>0</v>
      </c>
      <c r="J53" s="380">
        <f>VLOOKUP($B$52,BancoTabla_9[],5,FALSE)</f>
        <v>0</v>
      </c>
      <c r="K53" s="380">
        <f>VLOOKUP($B$52,BancoTabla_10[],5,FALSE)</f>
        <v>0</v>
      </c>
      <c r="L53" s="380">
        <f>VLOOKUP($B$52,BancoTabla_11[],5,FALSE)</f>
        <v>0</v>
      </c>
      <c r="M53" s="380">
        <f>VLOOKUP($B$52,BancoTabla_12[],5,FALSE)</f>
        <v>0</v>
      </c>
      <c r="N53" s="380">
        <f>VLOOKUP($B$52,BancoTabla_13[],5,FALSE)</f>
        <v>0</v>
      </c>
      <c r="O53" s="79"/>
      <c r="P53" s="43">
        <f>MAX(B53:N53)</f>
        <v>16357.833495999999</v>
      </c>
      <c r="Q53" s="334">
        <f>P53/1000</f>
        <v>16.357833495999998</v>
      </c>
    </row>
    <row r="54" spans="1:18" x14ac:dyDescent="0.25">
      <c r="A54" s="3" t="s">
        <v>7</v>
      </c>
      <c r="B54" s="380">
        <f>VLOOKUP($B$52,BancoTabla_1[],8,FALSE)</f>
        <v>0</v>
      </c>
      <c r="C54" s="380">
        <f>VLOOKUP($B$52,BancoTabla_2[],8,FALSE)</f>
        <v>0</v>
      </c>
      <c r="D54" s="380">
        <f>VLOOKUP($B$52,BancoTabla_3[],8,FALSE)</f>
        <v>0</v>
      </c>
      <c r="E54" s="380">
        <f>VLOOKUP($B$52,BancoTabla_4[],8,FALSE)</f>
        <v>0</v>
      </c>
      <c r="F54" s="380">
        <f>VLOOKUP($B$52,BancoTabla_5[],8,FALSE)</f>
        <v>0</v>
      </c>
      <c r="G54" s="380">
        <f>VLOOKUP($B$52,BancoTabla_6[],8,FALSE)</f>
        <v>8322475.3054339997</v>
      </c>
      <c r="H54" s="380">
        <f>VLOOKUP($B$52,BancoTabla_7[],8,FALSE)</f>
        <v>0</v>
      </c>
      <c r="I54" s="380">
        <f>VLOOKUP($B$52,BancoTabla_8[],8,FALSE)</f>
        <v>0</v>
      </c>
      <c r="J54" s="380">
        <f>VLOOKUP($B$52,BancoTabla_9[],8,FALSE)</f>
        <v>0</v>
      </c>
      <c r="K54" s="380">
        <f>VLOOKUP($B$52,BancoTabla_10[],8,FALSE)</f>
        <v>0</v>
      </c>
      <c r="L54" s="380">
        <f>VLOOKUP($B$52,BancoTabla_11[],8,FALSE)</f>
        <v>0</v>
      </c>
      <c r="M54" s="380">
        <f>VLOOKUP($B$52,BancoTabla_12[],8,FALSE)</f>
        <v>0</v>
      </c>
      <c r="N54" s="380">
        <f>VLOOKUP($B$52,BancoTabla_13[],8,FALSE)</f>
        <v>0</v>
      </c>
      <c r="O54" s="47">
        <f>SUM(B54:N54)</f>
        <v>8322475.3054339997</v>
      </c>
      <c r="P54" s="43">
        <f>SUM(B54:N54)/(COUNTIF(B54:N54,"&gt;0"))</f>
        <v>8322475.3054339997</v>
      </c>
      <c r="R54" s="39"/>
    </row>
    <row r="55" spans="1:18" x14ac:dyDescent="0.25">
      <c r="A55" s="3" t="s">
        <v>16</v>
      </c>
      <c r="B55" s="37" t="e">
        <f t="shared" ref="B55" si="24">+((B53/B57)^2-(B53^2))^(0.5)</f>
        <v>#DIV/0!</v>
      </c>
      <c r="C55" s="37" t="e">
        <f t="shared" ref="C55:K55" si="25">+((C53/C57)^2-(C53^2))^(0.5)</f>
        <v>#DIV/0!</v>
      </c>
      <c r="D55" s="37" t="e">
        <f t="shared" si="25"/>
        <v>#DIV/0!</v>
      </c>
      <c r="E55" s="37" t="e">
        <f t="shared" si="25"/>
        <v>#DIV/0!</v>
      </c>
      <c r="F55" s="37" t="e">
        <f t="shared" si="25"/>
        <v>#DIV/0!</v>
      </c>
      <c r="G55" s="37">
        <f t="shared" si="25"/>
        <v>2890.0289369649554</v>
      </c>
      <c r="H55" s="37" t="e">
        <f t="shared" si="25"/>
        <v>#DIV/0!</v>
      </c>
      <c r="I55" s="37" t="e">
        <f t="shared" si="25"/>
        <v>#DIV/0!</v>
      </c>
      <c r="J55" s="37" t="e">
        <f t="shared" si="25"/>
        <v>#DIV/0!</v>
      </c>
      <c r="K55" s="37" t="e">
        <f t="shared" si="25"/>
        <v>#DIV/0!</v>
      </c>
      <c r="L55" s="37" t="e">
        <f>+((L53/L57)^2-(L53^2))^(0.5)</f>
        <v>#DIV/0!</v>
      </c>
      <c r="M55" s="37" t="e">
        <f>+((M53/M57)^2-(M53^2))^(0.5)</f>
        <v>#DIV/0!</v>
      </c>
      <c r="N55" s="37" t="e">
        <f>+((N53/N57)^2-(N53^2))^(0.5)</f>
        <v>#DIV/0!</v>
      </c>
      <c r="O55" s="37"/>
      <c r="P55" s="4">
        <f>HLOOKUP(P53,B53:N55,3,FALSE)</f>
        <v>2890.0289369649554</v>
      </c>
    </row>
    <row r="56" spans="1:18" x14ac:dyDescent="0.25">
      <c r="A56" s="3" t="s">
        <v>8</v>
      </c>
      <c r="B56" s="37">
        <f t="shared" ref="B56" si="26">+B54/(24*B$8)</f>
        <v>0</v>
      </c>
      <c r="C56" s="37">
        <f t="shared" ref="C56:J56" si="27">+C54/(24*C$8)</f>
        <v>0</v>
      </c>
      <c r="D56" s="37">
        <f>+D54/(24*D$8)</f>
        <v>0</v>
      </c>
      <c r="E56" s="37">
        <f>+E54/(24*E$8)</f>
        <v>0</v>
      </c>
      <c r="F56" s="37">
        <f t="shared" si="27"/>
        <v>0</v>
      </c>
      <c r="G56" s="37">
        <f t="shared" si="27"/>
        <v>11186.122722357526</v>
      </c>
      <c r="H56" s="37">
        <f t="shared" si="27"/>
        <v>0</v>
      </c>
      <c r="I56" s="37">
        <f t="shared" si="27"/>
        <v>0</v>
      </c>
      <c r="J56" s="37">
        <f t="shared" si="27"/>
        <v>0</v>
      </c>
      <c r="K56" s="37">
        <f>+K54/(24*K$8)</f>
        <v>0</v>
      </c>
      <c r="L56" s="37">
        <f>+L54/(24*L$8)</f>
        <v>0</v>
      </c>
      <c r="M56" s="37">
        <f>+M54/(24*M$8)</f>
        <v>0</v>
      </c>
      <c r="N56" s="37">
        <f>+N54/(24*N$8)</f>
        <v>0</v>
      </c>
      <c r="O56" s="6">
        <f>SUM(O54)/(24*O$8)</f>
        <v>950.05425861118715</v>
      </c>
      <c r="P56" s="4">
        <f>O54/(COUNTIF(B54:N54,"&gt;0")*720)</f>
        <v>11558.993479769444</v>
      </c>
    </row>
    <row r="57" spans="1:18" x14ac:dyDescent="0.25">
      <c r="A57" s="3" t="s">
        <v>9</v>
      </c>
      <c r="B57" s="380">
        <f>VLOOKUP($B$52,BancoTabla_1[],10,FALSE)</f>
        <v>0</v>
      </c>
      <c r="C57" s="380">
        <f>VLOOKUP($B$52,BancoTabla_2[],10,FALSE)</f>
        <v>0</v>
      </c>
      <c r="D57" s="380">
        <f>VLOOKUP($B$52,BancoTabla_3[],10,FALSE)</f>
        <v>0</v>
      </c>
      <c r="E57" s="380">
        <f>VLOOKUP($B$52,BancoTabla_4[],10,FALSE)</f>
        <v>0</v>
      </c>
      <c r="F57" s="380">
        <f>VLOOKUP($B$52,BancoTabla_5[],10,FALSE)</f>
        <v>0</v>
      </c>
      <c r="G57" s="380">
        <f>VLOOKUP($B$52,BancoTabla_6[],10,FALSE)</f>
        <v>0.98474899999999999</v>
      </c>
      <c r="H57" s="380">
        <f>VLOOKUP($B$52,BancoTabla_7[],10,FALSE)</f>
        <v>0</v>
      </c>
      <c r="I57" s="380">
        <f>VLOOKUP($B$52,BancoTabla_8[],10,FALSE)</f>
        <v>0</v>
      </c>
      <c r="J57" s="380">
        <f>VLOOKUP($B$52,BancoTabla_9[],10,FALSE)</f>
        <v>0</v>
      </c>
      <c r="K57" s="380">
        <f>VLOOKUP($B$52,BancoTabla_10[],10,FALSE)</f>
        <v>0</v>
      </c>
      <c r="L57" s="380">
        <f>VLOOKUP($B$52,BancoTabla_11[],10,FALSE)</f>
        <v>0</v>
      </c>
      <c r="M57" s="380">
        <f>VLOOKUP($B$52,BancoTabla_12[],10,FALSE)</f>
        <v>0</v>
      </c>
      <c r="N57" s="380">
        <f>VLOOKUP($B$52,BancoTabla_13[],10,FALSE)</f>
        <v>0</v>
      </c>
      <c r="O57" s="6"/>
      <c r="P57" s="4">
        <f>COS(ATAN(P55/P53))</f>
        <v>0.9847490000000001</v>
      </c>
    </row>
    <row r="58" spans="1:18" x14ac:dyDescent="0.25">
      <c r="A58" s="3" t="s">
        <v>17</v>
      </c>
      <c r="B58" s="37" t="e">
        <f>+B56/B53</f>
        <v>#DIV/0!</v>
      </c>
      <c r="C58" s="37" t="e">
        <f>+C56/C53</f>
        <v>#DIV/0!</v>
      </c>
      <c r="D58" s="37" t="e">
        <f>+D56/D53</f>
        <v>#DIV/0!</v>
      </c>
      <c r="E58" s="37" t="e">
        <f>+E56/E53</f>
        <v>#DIV/0!</v>
      </c>
      <c r="F58" s="37" t="e">
        <f t="shared" ref="F58:J58" si="28">+F56/F53</f>
        <v>#DIV/0!</v>
      </c>
      <c r="G58" s="37">
        <f t="shared" si="28"/>
        <v>0.68383889132340669</v>
      </c>
      <c r="H58" s="37" t="e">
        <f t="shared" si="28"/>
        <v>#DIV/0!</v>
      </c>
      <c r="I58" s="37" t="e">
        <f t="shared" si="28"/>
        <v>#DIV/0!</v>
      </c>
      <c r="J58" s="37" t="e">
        <f t="shared" si="28"/>
        <v>#DIV/0!</v>
      </c>
      <c r="K58" s="37" t="e">
        <f>+K56/K53</f>
        <v>#DIV/0!</v>
      </c>
      <c r="L58" s="37" t="e">
        <f>+L56/L53</f>
        <v>#DIV/0!</v>
      </c>
      <c r="M58" s="37" t="e">
        <f>+M56/M53</f>
        <v>#DIV/0!</v>
      </c>
      <c r="N58" s="37" t="e">
        <f>+N56/N53</f>
        <v>#DIV/0!</v>
      </c>
      <c r="O58" s="6"/>
      <c r="P58" s="4">
        <f>+P56/P53</f>
        <v>0.70663352103418697</v>
      </c>
    </row>
    <row r="59" spans="1:18" x14ac:dyDescent="0.25">
      <c r="A59" s="3" t="s">
        <v>18</v>
      </c>
      <c r="B59" s="181" t="e">
        <f>+B50/B53</f>
        <v>#DIV/0!</v>
      </c>
      <c r="C59" s="181" t="e">
        <f>+C50/C53</f>
        <v>#DIV/0!</v>
      </c>
      <c r="D59" s="181" t="e">
        <f t="shared" ref="D59:J59" si="29">+D50/D53</f>
        <v>#DIV/0!</v>
      </c>
      <c r="E59" s="181" t="e">
        <f t="shared" si="29"/>
        <v>#DIV/0!</v>
      </c>
      <c r="F59" s="181" t="e">
        <f t="shared" si="29"/>
        <v>#DIV/0!</v>
      </c>
      <c r="G59" s="181">
        <f t="shared" si="29"/>
        <v>1.1092950027543185</v>
      </c>
      <c r="H59" s="181" t="e">
        <f>+H50/H53</f>
        <v>#DIV/0!</v>
      </c>
      <c r="I59" s="181" t="e">
        <f t="shared" si="29"/>
        <v>#DIV/0!</v>
      </c>
      <c r="J59" s="181" t="e">
        <f t="shared" si="29"/>
        <v>#DIV/0!</v>
      </c>
      <c r="K59" s="181" t="e">
        <f>+K50/K53</f>
        <v>#DIV/0!</v>
      </c>
      <c r="L59" s="181" t="e">
        <f>+L50/L53</f>
        <v>#DIV/0!</v>
      </c>
      <c r="M59" s="181" t="e">
        <f>+M50/M53</f>
        <v>#DIV/0!</v>
      </c>
      <c r="N59" s="37" t="e">
        <f>+N50/N53</f>
        <v>#DIV/0!</v>
      </c>
      <c r="O59" s="6"/>
      <c r="P59" s="4">
        <f>+P50/P53</f>
        <v>1.1092950027543185</v>
      </c>
    </row>
    <row r="60" spans="1:18" x14ac:dyDescent="0.25">
      <c r="A60" s="3" t="s">
        <v>19</v>
      </c>
      <c r="B60" s="37">
        <f t="shared" ref="B60:N60" si="30">+B53/$B$61</f>
        <v>0</v>
      </c>
      <c r="C60" s="37">
        <f t="shared" si="30"/>
        <v>0</v>
      </c>
      <c r="D60" s="37">
        <f t="shared" si="30"/>
        <v>0</v>
      </c>
      <c r="E60" s="37">
        <f t="shared" si="30"/>
        <v>0</v>
      </c>
      <c r="F60" s="37">
        <f t="shared" si="30"/>
        <v>0</v>
      </c>
      <c r="G60" s="37">
        <f t="shared" si="30"/>
        <v>0.83055852283170628</v>
      </c>
      <c r="H60" s="37">
        <f t="shared" si="30"/>
        <v>0</v>
      </c>
      <c r="I60" s="37">
        <f t="shared" si="30"/>
        <v>0</v>
      </c>
      <c r="J60" s="37">
        <f t="shared" si="30"/>
        <v>0</v>
      </c>
      <c r="K60" s="37">
        <f t="shared" si="30"/>
        <v>0</v>
      </c>
      <c r="L60" s="37">
        <f t="shared" si="30"/>
        <v>0</v>
      </c>
      <c r="M60" s="37">
        <f t="shared" si="30"/>
        <v>0</v>
      </c>
      <c r="N60" s="37">
        <f t="shared" si="30"/>
        <v>0</v>
      </c>
      <c r="O60" s="6"/>
      <c r="P60" s="4">
        <f>+P53/$B$61</f>
        <v>0.83055852283170628</v>
      </c>
    </row>
    <row r="61" spans="1:18" x14ac:dyDescent="0.25">
      <c r="A61" s="13" t="s">
        <v>20</v>
      </c>
      <c r="B61" s="37">
        <f>20*P57*1000</f>
        <v>19694.98</v>
      </c>
      <c r="C61" s="37"/>
      <c r="D61" s="37"/>
      <c r="E61" s="37"/>
      <c r="F61" s="37"/>
      <c r="G61" s="36"/>
      <c r="H61" s="160"/>
      <c r="I61" s="36"/>
      <c r="J61" s="36"/>
      <c r="K61" s="37"/>
      <c r="L61" s="37"/>
      <c r="M61" s="37"/>
      <c r="N61" s="160"/>
      <c r="O61" s="34"/>
      <c r="P61" s="14"/>
    </row>
    <row r="62" spans="1:18" x14ac:dyDescent="0.25">
      <c r="B62" s="237">
        <v>0.6418264379414732</v>
      </c>
      <c r="C62" s="237">
        <f t="shared" ref="C62:N62" si="31">C53/$B$61</f>
        <v>0</v>
      </c>
      <c r="D62" s="237">
        <f t="shared" si="31"/>
        <v>0</v>
      </c>
      <c r="E62" s="237">
        <f t="shared" si="31"/>
        <v>0</v>
      </c>
      <c r="F62" s="237">
        <f t="shared" si="31"/>
        <v>0</v>
      </c>
      <c r="G62" s="237">
        <f t="shared" si="31"/>
        <v>0.83055852283170628</v>
      </c>
      <c r="H62" s="237">
        <f t="shared" si="31"/>
        <v>0</v>
      </c>
      <c r="I62" s="237">
        <f t="shared" si="31"/>
        <v>0</v>
      </c>
      <c r="J62" s="237">
        <f t="shared" si="31"/>
        <v>0</v>
      </c>
      <c r="K62" s="237">
        <f t="shared" si="31"/>
        <v>0</v>
      </c>
      <c r="L62" s="237">
        <f t="shared" si="31"/>
        <v>0</v>
      </c>
      <c r="M62" s="237">
        <f t="shared" si="31"/>
        <v>0</v>
      </c>
      <c r="N62" s="237">
        <f t="shared" si="31"/>
        <v>0</v>
      </c>
      <c r="O62" s="24"/>
    </row>
    <row r="63" spans="1:18" x14ac:dyDescent="0.25">
      <c r="C63" s="40"/>
      <c r="D63" s="40"/>
      <c r="E63" s="40"/>
      <c r="F63" s="40"/>
      <c r="G63" s="24"/>
      <c r="H63" s="24"/>
      <c r="I63" s="24"/>
      <c r="J63" s="24"/>
      <c r="K63" s="24"/>
      <c r="L63" s="24"/>
      <c r="M63" s="24"/>
      <c r="N63" s="24"/>
      <c r="O63" s="24"/>
    </row>
    <row r="64" spans="1:18" x14ac:dyDescent="0.25">
      <c r="A64" s="15" t="s">
        <v>14</v>
      </c>
      <c r="B64" s="15"/>
      <c r="C64" s="68"/>
      <c r="D64" s="68"/>
      <c r="E64" s="68"/>
      <c r="F64" s="68"/>
      <c r="G64" s="69"/>
      <c r="H64" s="69"/>
      <c r="I64" s="69"/>
      <c r="J64" s="69"/>
      <c r="K64" s="57"/>
      <c r="L64" s="57"/>
      <c r="M64" s="57"/>
      <c r="N64" s="69"/>
      <c r="O64" s="57"/>
      <c r="P64" s="16"/>
    </row>
    <row r="65" spans="1:16" x14ac:dyDescent="0.25">
      <c r="A65" s="16" t="s">
        <v>11</v>
      </c>
      <c r="B65" s="63">
        <f>+B53</f>
        <v>0</v>
      </c>
      <c r="C65" s="63">
        <f>+C53</f>
        <v>0</v>
      </c>
      <c r="D65" s="63">
        <f t="shared" ref="D65:M66" si="32">+D53</f>
        <v>0</v>
      </c>
      <c r="E65" s="63">
        <f t="shared" si="32"/>
        <v>0</v>
      </c>
      <c r="F65" s="63">
        <f t="shared" si="32"/>
        <v>0</v>
      </c>
      <c r="G65" s="63">
        <f t="shared" si="32"/>
        <v>16357.833495999999</v>
      </c>
      <c r="H65" s="63">
        <f t="shared" si="32"/>
        <v>0</v>
      </c>
      <c r="I65" s="63">
        <f t="shared" si="32"/>
        <v>0</v>
      </c>
      <c r="J65" s="63">
        <f t="shared" si="32"/>
        <v>0</v>
      </c>
      <c r="K65" s="63">
        <f t="shared" si="32"/>
        <v>0</v>
      </c>
      <c r="L65" s="63">
        <f t="shared" si="32"/>
        <v>0</v>
      </c>
      <c r="M65" s="63">
        <f t="shared" si="32"/>
        <v>0</v>
      </c>
      <c r="N65" s="63">
        <f>+N53</f>
        <v>0</v>
      </c>
      <c r="O65" s="63"/>
      <c r="P65" s="45">
        <f>MAX(B65:N65)</f>
        <v>16357.833495999999</v>
      </c>
    </row>
    <row r="66" spans="1:16" x14ac:dyDescent="0.25">
      <c r="A66" s="16" t="s">
        <v>7</v>
      </c>
      <c r="B66" s="63">
        <f>+B54</f>
        <v>0</v>
      </c>
      <c r="C66" s="63">
        <f>+C54</f>
        <v>0</v>
      </c>
      <c r="D66" s="63">
        <f t="shared" si="32"/>
        <v>0</v>
      </c>
      <c r="E66" s="63">
        <f t="shared" si="32"/>
        <v>0</v>
      </c>
      <c r="F66" s="63">
        <f t="shared" si="32"/>
        <v>0</v>
      </c>
      <c r="G66" s="63">
        <f t="shared" si="32"/>
        <v>8322475.3054339997</v>
      </c>
      <c r="H66" s="63">
        <f t="shared" si="32"/>
        <v>0</v>
      </c>
      <c r="I66" s="63">
        <f t="shared" si="32"/>
        <v>0</v>
      </c>
      <c r="J66" s="63">
        <f t="shared" si="32"/>
        <v>0</v>
      </c>
      <c r="K66" s="63">
        <f t="shared" si="32"/>
        <v>0</v>
      </c>
      <c r="L66" s="63">
        <f t="shared" si="32"/>
        <v>0</v>
      </c>
      <c r="M66" s="63">
        <f t="shared" si="32"/>
        <v>0</v>
      </c>
      <c r="N66" s="63">
        <f>+N54</f>
        <v>0</v>
      </c>
      <c r="O66" s="63">
        <f>SUM(B66:N66)</f>
        <v>8322475.3054339997</v>
      </c>
      <c r="P66" s="43"/>
    </row>
    <row r="67" spans="1:16" x14ac:dyDescent="0.25">
      <c r="C67" s="40"/>
      <c r="D67" s="40"/>
      <c r="E67" s="40"/>
      <c r="F67" s="40"/>
      <c r="G67" s="24"/>
      <c r="H67" s="24"/>
      <c r="I67" s="24"/>
      <c r="J67" s="24"/>
      <c r="K67" s="24"/>
      <c r="L67" s="24"/>
      <c r="M67" s="24"/>
      <c r="N67" s="24"/>
      <c r="O67" s="24"/>
    </row>
    <row r="68" spans="1:16" x14ac:dyDescent="0.25">
      <c r="A68" s="12" t="s">
        <v>21</v>
      </c>
      <c r="B68" s="12"/>
      <c r="C68" s="70"/>
      <c r="D68" s="70"/>
      <c r="E68" s="70"/>
      <c r="F68" s="70"/>
      <c r="G68" s="71"/>
      <c r="H68" s="71"/>
      <c r="I68" s="71"/>
      <c r="J68" s="71"/>
      <c r="K68" s="56"/>
      <c r="L68" s="56"/>
      <c r="M68" s="56"/>
      <c r="N68" s="71"/>
      <c r="O68" s="56"/>
      <c r="P68" s="11"/>
    </row>
    <row r="69" spans="1:16" x14ac:dyDescent="0.25">
      <c r="A69" s="13" t="s">
        <v>6</v>
      </c>
      <c r="B69" s="49">
        <f>+B65</f>
        <v>0</v>
      </c>
      <c r="C69" s="49">
        <f>+C65</f>
        <v>0</v>
      </c>
      <c r="D69" s="49">
        <f>+D65</f>
        <v>0</v>
      </c>
      <c r="E69" s="49">
        <f>+E65</f>
        <v>0</v>
      </c>
      <c r="F69" s="49">
        <f>+F65</f>
        <v>0</v>
      </c>
      <c r="G69" s="49">
        <f t="shared" ref="G69:M69" si="33">+G65</f>
        <v>16357.833495999999</v>
      </c>
      <c r="H69" s="49">
        <f t="shared" si="33"/>
        <v>0</v>
      </c>
      <c r="I69" s="49">
        <f t="shared" si="33"/>
        <v>0</v>
      </c>
      <c r="J69" s="49">
        <f t="shared" si="33"/>
        <v>0</v>
      </c>
      <c r="K69" s="49">
        <f>+K65</f>
        <v>0</v>
      </c>
      <c r="L69" s="49">
        <f t="shared" si="33"/>
        <v>0</v>
      </c>
      <c r="M69" s="49">
        <f t="shared" si="33"/>
        <v>0</v>
      </c>
      <c r="N69" s="49">
        <f>+N65</f>
        <v>0</v>
      </c>
      <c r="O69" s="80"/>
      <c r="P69" s="44">
        <f>MAX(B69:N69)</f>
        <v>16357.833495999999</v>
      </c>
    </row>
    <row r="70" spans="1:16" x14ac:dyDescent="0.25">
      <c r="A70" s="14" t="s">
        <v>18</v>
      </c>
      <c r="B70" s="14" t="e">
        <f>+B65/B69</f>
        <v>#DIV/0!</v>
      </c>
      <c r="C70" s="14" t="e">
        <f t="shared" ref="C70:M70" si="34">+C65/C69</f>
        <v>#DIV/0!</v>
      </c>
      <c r="D70" s="14" t="e">
        <f t="shared" si="34"/>
        <v>#DIV/0!</v>
      </c>
      <c r="E70" s="14" t="e">
        <f t="shared" si="34"/>
        <v>#DIV/0!</v>
      </c>
      <c r="F70" s="14" t="e">
        <f t="shared" si="34"/>
        <v>#DIV/0!</v>
      </c>
      <c r="G70" s="14">
        <f t="shared" si="34"/>
        <v>1</v>
      </c>
      <c r="H70" s="14" t="e">
        <f t="shared" si="34"/>
        <v>#DIV/0!</v>
      </c>
      <c r="I70" s="14" t="e">
        <f t="shared" si="34"/>
        <v>#DIV/0!</v>
      </c>
      <c r="J70" s="14" t="e">
        <f t="shared" si="34"/>
        <v>#DIV/0!</v>
      </c>
      <c r="K70" s="14" t="e">
        <f t="shared" si="34"/>
        <v>#DIV/0!</v>
      </c>
      <c r="L70" s="14" t="e">
        <f t="shared" si="34"/>
        <v>#DIV/0!</v>
      </c>
      <c r="M70" s="14" t="e">
        <f t="shared" si="34"/>
        <v>#DIV/0!</v>
      </c>
      <c r="N70" s="14" t="e">
        <f>+N65/N69</f>
        <v>#DIV/0!</v>
      </c>
      <c r="O70" s="61"/>
      <c r="P70" s="14">
        <f>+P65/P69</f>
        <v>1</v>
      </c>
    </row>
    <row r="71" spans="1:16" x14ac:dyDescent="0.25">
      <c r="A71" s="33"/>
      <c r="B71" s="33"/>
      <c r="C71" s="33"/>
      <c r="D71" s="33"/>
      <c r="E71" s="33"/>
      <c r="F71" s="33"/>
      <c r="G71" s="33"/>
      <c r="H71" s="33"/>
      <c r="I71" s="33"/>
      <c r="J71" s="33"/>
      <c r="K71" s="33"/>
      <c r="L71" s="33"/>
      <c r="M71" s="33"/>
      <c r="N71" s="33"/>
      <c r="O71" s="64"/>
      <c r="P71" s="33"/>
    </row>
    <row r="72" spans="1:16" x14ac:dyDescent="0.25">
      <c r="A72" s="33"/>
      <c r="B72" s="33"/>
      <c r="C72" s="33"/>
      <c r="D72" s="33"/>
      <c r="E72" s="33"/>
      <c r="F72" s="61" t="s">
        <v>160</v>
      </c>
      <c r="G72" s="145">
        <f>P13+P20+P27+P34+P41</f>
        <v>18145.662953000003</v>
      </c>
      <c r="H72" s="33"/>
      <c r="I72" s="33"/>
      <c r="J72" s="33"/>
      <c r="K72" s="33"/>
      <c r="L72" s="33"/>
      <c r="M72" s="33"/>
      <c r="N72" s="33"/>
      <c r="O72" s="48"/>
      <c r="P72" s="33"/>
    </row>
    <row r="73" spans="1:16" x14ac:dyDescent="0.25">
      <c r="A73" s="33"/>
      <c r="B73" s="33"/>
      <c r="C73" s="33"/>
      <c r="D73" s="33"/>
      <c r="E73" s="33"/>
      <c r="F73" s="61" t="s">
        <v>161</v>
      </c>
      <c r="G73" s="145">
        <f>P53</f>
        <v>16357.833495999999</v>
      </c>
      <c r="H73" s="33"/>
      <c r="I73" s="33"/>
      <c r="J73" s="33"/>
      <c r="K73" s="33"/>
      <c r="L73" s="33"/>
      <c r="M73" s="33"/>
      <c r="N73" s="33"/>
      <c r="O73" s="48"/>
      <c r="P73" s="33"/>
    </row>
    <row r="74" spans="1:16" x14ac:dyDescent="0.25">
      <c r="F74" s="146" t="s">
        <v>162</v>
      </c>
      <c r="G74" s="147">
        <f>G72/G73</f>
        <v>1.1092950027543185</v>
      </c>
      <c r="I74" s="236"/>
    </row>
    <row r="77" spans="1:16" x14ac:dyDescent="0.25">
      <c r="C77" s="39"/>
    </row>
    <row r="78" spans="1:16" x14ac:dyDescent="0.25">
      <c r="C78" s="39"/>
    </row>
    <row r="82" spans="1:1" x14ac:dyDescent="0.25">
      <c r="A82" t="s">
        <v>436</v>
      </c>
    </row>
  </sheetData>
  <mergeCells count="21">
    <mergeCell ref="A9:A10"/>
    <mergeCell ref="C9:C10"/>
    <mergeCell ref="D9:D10"/>
    <mergeCell ref="E9:E10"/>
    <mergeCell ref="L9:L10"/>
    <mergeCell ref="B9:B10"/>
    <mergeCell ref="E2:M2"/>
    <mergeCell ref="E3:M3"/>
    <mergeCell ref="E4:M4"/>
    <mergeCell ref="E5:M5"/>
    <mergeCell ref="E6:M6"/>
    <mergeCell ref="P9:P10"/>
    <mergeCell ref="F9:F10"/>
    <mergeCell ref="G9:G10"/>
    <mergeCell ref="H9:H10"/>
    <mergeCell ref="I9:I10"/>
    <mergeCell ref="J9:J10"/>
    <mergeCell ref="K9:K10"/>
    <mergeCell ref="N9:N10"/>
    <mergeCell ref="O9:O10"/>
    <mergeCell ref="M9:M10"/>
  </mergeCells>
  <printOptions horizontalCentered="1" verticalCentered="1"/>
  <pageMargins left="0.70866141732283472" right="0.70866141732283472" top="0.74803149606299213" bottom="0.74803149606299213" header="0.31496062992125984" footer="0.31496062992125984"/>
  <pageSetup scale="60" orientation="landscape" r:id="rId1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Hoja2">
    <tabColor theme="8" tint="0.59999389629810485"/>
  </sheetPr>
  <dimension ref="A1:R86"/>
  <sheetViews>
    <sheetView zoomScale="110" zoomScaleNormal="110" zoomScaleSheetLayoutView="100" workbookViewId="0">
      <selection activeCell="B40" sqref="B40"/>
    </sheetView>
  </sheetViews>
  <sheetFormatPr baseColWidth="10" defaultRowHeight="13.2" x14ac:dyDescent="0.25"/>
  <cols>
    <col min="1" max="1" width="14.109375" bestFit="1" customWidth="1"/>
    <col min="2" max="16" width="15.6640625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32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81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ht="13.8" thickTop="1" x14ac:dyDescent="0.25">
      <c r="A11" s="59"/>
      <c r="B11" s="60"/>
      <c r="C11" s="60"/>
      <c r="D11" s="60"/>
      <c r="E11" s="60"/>
      <c r="F11" s="60"/>
      <c r="G11" s="60"/>
      <c r="H11" s="60"/>
      <c r="I11" s="60"/>
      <c r="J11" s="60"/>
      <c r="K11" s="60"/>
      <c r="L11" s="60"/>
      <c r="M11" s="60"/>
      <c r="N11" s="60"/>
      <c r="O11" s="59"/>
      <c r="P11" s="59"/>
    </row>
    <row r="12" spans="1:16" s="24" customFormat="1" x14ac:dyDescent="0.25">
      <c r="A12" s="271" t="s">
        <v>453</v>
      </c>
      <c r="B12" s="262"/>
      <c r="C12" s="262"/>
      <c r="D12" s="262"/>
      <c r="E12" s="262"/>
      <c r="F12" s="65"/>
      <c r="G12" s="66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2144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2144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1143255.45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1143255.45</v>
      </c>
      <c r="P14" s="43">
        <f>SUM(B14:N14)/(COUNTIF(B14:N14,"&gt;0"))</f>
        <v>1143255.45</v>
      </c>
    </row>
    <row r="15" spans="1:16" x14ac:dyDescent="0.25">
      <c r="A15" s="3" t="s">
        <v>16</v>
      </c>
      <c r="B15" s="37" t="e">
        <f>+((B13/B17)^2-(B13^2))^(0.5)</f>
        <v>#DIV/0!</v>
      </c>
      <c r="C15" s="37" t="e">
        <f>+((C13/C17)^2-(C13^2))^(0.5)</f>
        <v>#DIV/0!</v>
      </c>
      <c r="D15" s="37" t="e">
        <f t="shared" ref="D15:N15" si="0">+((D13/D17)^2-(D13^2))^(0.5)</f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113.56909856953099</v>
      </c>
      <c r="H15" s="37" t="e">
        <f t="shared" si="0"/>
        <v>#DIV/0!</v>
      </c>
      <c r="I15" s="37" t="e">
        <f t="shared" si="0"/>
        <v>#DIV/0!</v>
      </c>
      <c r="J15" s="37" t="e">
        <f t="shared" si="0"/>
        <v>#DIV/0!</v>
      </c>
      <c r="K15" s="37" t="e">
        <f t="shared" si="0"/>
        <v>#DIV/0!</v>
      </c>
      <c r="L15" s="37" t="e">
        <f t="shared" si="0"/>
        <v>#DIV/0!</v>
      </c>
      <c r="M15" s="37" t="e">
        <f t="shared" si="0"/>
        <v>#DIV/0!</v>
      </c>
      <c r="N15" s="37" t="e">
        <f t="shared" si="0"/>
        <v>#DIV/0!</v>
      </c>
      <c r="O15" s="37"/>
      <c r="P15" s="4">
        <f>HLOOKUP(P13,B13:N15,3,FALSE)</f>
        <v>113.56909856953099</v>
      </c>
    </row>
    <row r="16" spans="1:16" x14ac:dyDescent="0.25">
      <c r="A16" s="3" t="s">
        <v>8</v>
      </c>
      <c r="B16" s="37">
        <f>+B14/(24*B$8)</f>
        <v>0</v>
      </c>
      <c r="C16" s="37">
        <f>+C14/(24*C$8)</f>
        <v>0</v>
      </c>
      <c r="D16" s="37">
        <f>+D14/(24*D$8)</f>
        <v>0</v>
      </c>
      <c r="E16" s="37">
        <f>+E14/(24*E$8)</f>
        <v>0</v>
      </c>
      <c r="F16" s="37">
        <f t="shared" ref="F16:K16" si="1">+F14/(24*F$8)</f>
        <v>0</v>
      </c>
      <c r="G16" s="37">
        <f t="shared" si="1"/>
        <v>1536.6336693548387</v>
      </c>
      <c r="H16" s="37">
        <f t="shared" si="1"/>
        <v>0</v>
      </c>
      <c r="I16" s="37">
        <f t="shared" si="1"/>
        <v>0</v>
      </c>
      <c r="J16" s="37">
        <f t="shared" si="1"/>
        <v>0</v>
      </c>
      <c r="K16" s="37">
        <f t="shared" si="1"/>
        <v>0</v>
      </c>
      <c r="L16" s="37">
        <f>+L14/(24*L$8)</f>
        <v>0</v>
      </c>
      <c r="M16" s="37">
        <f>+M14/(24*M$8)</f>
        <v>0</v>
      </c>
      <c r="N16" s="37">
        <f>+N14/(24*N$8)</f>
        <v>0</v>
      </c>
      <c r="O16" s="6">
        <f>SUM(O14)/(24*O$8)</f>
        <v>130.50861301369864</v>
      </c>
      <c r="P16" s="4">
        <f>O14/(COUNTIF(B14:N14,"&gt;0")*720)</f>
        <v>1587.8547916666666</v>
      </c>
    </row>
    <row r="17" spans="1:17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0.99860000000000004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0.99860000000000015</v>
      </c>
    </row>
    <row r="18" spans="1:17" x14ac:dyDescent="0.25">
      <c r="A18" s="3" t="s">
        <v>17</v>
      </c>
      <c r="B18" s="37" t="e">
        <f>+B16/B13</f>
        <v>#DIV/0!</v>
      </c>
      <c r="C18" s="37" t="e">
        <f>+C16/C13</f>
        <v>#DIV/0!</v>
      </c>
      <c r="D18" s="37" t="e">
        <f>+D16/D13</f>
        <v>#DIV/0!</v>
      </c>
      <c r="E18" s="328" t="e">
        <f>+E16/E13</f>
        <v>#DIV/0!</v>
      </c>
      <c r="F18" s="37" t="e">
        <f t="shared" ref="F18:K18" si="2">+F16/F13</f>
        <v>#DIV/0!</v>
      </c>
      <c r="G18" s="37">
        <f t="shared" si="2"/>
        <v>0.7167134651841599</v>
      </c>
      <c r="H18" s="37" t="e">
        <f t="shared" si="2"/>
        <v>#DIV/0!</v>
      </c>
      <c r="I18" s="37" t="e">
        <f t="shared" si="2"/>
        <v>#DIV/0!</v>
      </c>
      <c r="J18" s="37" t="e">
        <f t="shared" si="2"/>
        <v>#DIV/0!</v>
      </c>
      <c r="K18" s="37" t="e">
        <f t="shared" si="2"/>
        <v>#DIV/0!</v>
      </c>
      <c r="L18" s="37" t="e">
        <f>+L16/L13</f>
        <v>#DIV/0!</v>
      </c>
      <c r="M18" s="37" t="e">
        <f>+M16/M13</f>
        <v>#DIV/0!</v>
      </c>
      <c r="N18" s="37" t="e">
        <f>+N16/N13</f>
        <v>#DIV/0!</v>
      </c>
      <c r="O18" s="6"/>
      <c r="P18" s="4">
        <f>+P16/P13</f>
        <v>0.74060391402363179</v>
      </c>
    </row>
    <row r="19" spans="1:17" s="24" customFormat="1" x14ac:dyDescent="0.25">
      <c r="A19" s="271" t="s">
        <v>454</v>
      </c>
      <c r="B19" s="65"/>
      <c r="C19" s="65"/>
      <c r="D19" s="65"/>
      <c r="E19" s="65"/>
      <c r="F19" s="65"/>
      <c r="G19" s="66"/>
      <c r="H19" s="66"/>
      <c r="I19" s="66"/>
      <c r="J19" s="66"/>
      <c r="K19" s="36"/>
      <c r="L19" s="50"/>
      <c r="M19" s="50"/>
      <c r="N19" s="50"/>
      <c r="O19" s="50"/>
      <c r="P19" s="50"/>
    </row>
    <row r="20" spans="1:17" x14ac:dyDescent="0.25">
      <c r="A20" s="3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2144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2144</v>
      </c>
    </row>
    <row r="21" spans="1:17" x14ac:dyDescent="0.25">
      <c r="A21" s="3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1136510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1136510</v>
      </c>
      <c r="P21" s="4">
        <f>SUM(B21:N21)/(COUNTIF(B21:N21,"&gt;0"))</f>
        <v>1136510</v>
      </c>
    </row>
    <row r="22" spans="1:17" x14ac:dyDescent="0.25">
      <c r="A22" s="3" t="s">
        <v>16</v>
      </c>
      <c r="B22" s="37" t="e">
        <f>+((B20/B24)^2-(B20^2))^(0.5)</f>
        <v>#DIV/0!</v>
      </c>
      <c r="C22" s="37" t="e">
        <f>+((C20/C24)^2-(C20^2))^(0.5)</f>
        <v>#DIV/0!</v>
      </c>
      <c r="D22" s="37" t="e">
        <f t="shared" ref="D22:K22" si="3">+((D20/D24)^2-(D20^2))^(0.5)</f>
        <v>#DIV/0!</v>
      </c>
      <c r="E22" s="37" t="e">
        <f t="shared" si="3"/>
        <v>#DIV/0!</v>
      </c>
      <c r="F22" s="37" t="e">
        <f t="shared" si="3"/>
        <v>#DIV/0!</v>
      </c>
      <c r="G22" s="37">
        <f t="shared" si="3"/>
        <v>569.36701222556042</v>
      </c>
      <c r="H22" s="37" t="e">
        <f t="shared" si="3"/>
        <v>#DIV/0!</v>
      </c>
      <c r="I22" s="37" t="e">
        <f t="shared" si="3"/>
        <v>#DIV/0!</v>
      </c>
      <c r="J22" s="37" t="e">
        <f t="shared" si="3"/>
        <v>#DIV/0!</v>
      </c>
      <c r="K22" s="37" t="e">
        <f t="shared" si="3"/>
        <v>#DIV/0!</v>
      </c>
      <c r="L22" s="37" t="e">
        <f>+((L20/L24)^2-(L20^2))^(0.5)</f>
        <v>#DIV/0!</v>
      </c>
      <c r="M22" s="37" t="e">
        <f>+((M20/M24)^2-(M20^2))^(0.5)</f>
        <v>#DIV/0!</v>
      </c>
      <c r="N22" s="37" t="e">
        <f>+((N20/N24)^2-(N20^2))^(0.5)</f>
        <v>#DIV/0!</v>
      </c>
      <c r="O22" s="37"/>
      <c r="P22" s="4">
        <f>HLOOKUP(P20,B20:N22,3,FALSE)</f>
        <v>569.36701222556042</v>
      </c>
    </row>
    <row r="23" spans="1:17" x14ac:dyDescent="0.25">
      <c r="A23" s="3" t="s">
        <v>8</v>
      </c>
      <c r="B23" s="37">
        <f>+B21/(24*B$8)</f>
        <v>0</v>
      </c>
      <c r="C23" s="37">
        <f>+C21/(24*C$8)</f>
        <v>0</v>
      </c>
      <c r="D23" s="37">
        <f t="shared" ref="D23:J23" si="4">+D21/(24*D$8)</f>
        <v>0</v>
      </c>
      <c r="E23" s="37">
        <f t="shared" si="4"/>
        <v>0</v>
      </c>
      <c r="F23" s="37">
        <f>+F21/(24*F$8)</f>
        <v>0</v>
      </c>
      <c r="G23" s="37">
        <f t="shared" si="4"/>
        <v>1527.5672043010752</v>
      </c>
      <c r="H23" s="37">
        <f t="shared" si="4"/>
        <v>0</v>
      </c>
      <c r="I23" s="37">
        <f t="shared" si="4"/>
        <v>0</v>
      </c>
      <c r="J23" s="37">
        <f t="shared" si="4"/>
        <v>0</v>
      </c>
      <c r="K23" s="37">
        <f>+K21/(24*K$8)</f>
        <v>0</v>
      </c>
      <c r="L23" s="37">
        <f>+L21/(24*L$8)</f>
        <v>0</v>
      </c>
      <c r="M23" s="37">
        <f>+M21/(24*M$8)</f>
        <v>0</v>
      </c>
      <c r="N23" s="37">
        <f>+N21/(24*N$8)</f>
        <v>0</v>
      </c>
      <c r="O23" s="6">
        <f>SUM(O21)/(24*O$8)</f>
        <v>129.73858447488584</v>
      </c>
      <c r="P23" s="4">
        <f>O21/(COUNTIF(B21:N21,"&gt;0")*720)</f>
        <v>1578.4861111111111</v>
      </c>
    </row>
    <row r="24" spans="1:17" x14ac:dyDescent="0.25">
      <c r="A24" s="3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0.96650000000000003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0.96650000000000014</v>
      </c>
    </row>
    <row r="25" spans="1:17" x14ac:dyDescent="0.25">
      <c r="A25" s="3" t="s">
        <v>17</v>
      </c>
      <c r="B25" s="37" t="e">
        <f t="shared" ref="B25:J25" si="5">+B23/B20</f>
        <v>#DIV/0!</v>
      </c>
      <c r="C25" s="37" t="e">
        <f>+C23/C20</f>
        <v>#DIV/0!</v>
      </c>
      <c r="D25" s="37" t="e">
        <f t="shared" si="5"/>
        <v>#DIV/0!</v>
      </c>
      <c r="E25" s="37" t="e">
        <f t="shared" si="5"/>
        <v>#DIV/0!</v>
      </c>
      <c r="F25" s="37" t="e">
        <f t="shared" si="5"/>
        <v>#DIV/0!</v>
      </c>
      <c r="G25" s="37">
        <f t="shared" si="5"/>
        <v>0.7124847034986358</v>
      </c>
      <c r="H25" s="37" t="e">
        <f t="shared" si="5"/>
        <v>#DIV/0!</v>
      </c>
      <c r="I25" s="37" t="e">
        <f t="shared" si="5"/>
        <v>#DIV/0!</v>
      </c>
      <c r="J25" s="37" t="e">
        <f t="shared" si="5"/>
        <v>#DIV/0!</v>
      </c>
      <c r="K25" s="37" t="e">
        <f>+K23/K20</f>
        <v>#DIV/0!</v>
      </c>
      <c r="L25" s="37" t="e">
        <f>+L23/L20</f>
        <v>#DIV/0!</v>
      </c>
      <c r="M25" s="37" t="e">
        <f>+M23/M20</f>
        <v>#DIV/0!</v>
      </c>
      <c r="N25" s="37" t="e">
        <f>+N23/N20</f>
        <v>#DIV/0!</v>
      </c>
      <c r="O25" s="6"/>
      <c r="P25" s="4">
        <f>+P23/P20</f>
        <v>0.73623419361525699</v>
      </c>
    </row>
    <row r="26" spans="1:17" x14ac:dyDescent="0.25">
      <c r="A26" s="30"/>
      <c r="B26" s="174"/>
      <c r="C26" s="174"/>
      <c r="D26" s="174"/>
      <c r="E26" s="174"/>
      <c r="F26" s="174"/>
      <c r="G26" s="51"/>
      <c r="H26" s="51"/>
      <c r="I26" s="51"/>
      <c r="J26" s="51"/>
      <c r="K26" s="51"/>
      <c r="L26" s="51"/>
      <c r="M26" s="51"/>
      <c r="N26" s="51"/>
      <c r="O26" s="51"/>
      <c r="P26" s="30"/>
    </row>
    <row r="27" spans="1:17" x14ac:dyDescent="0.25">
      <c r="A27" s="31"/>
      <c r="B27" s="175"/>
      <c r="C27" s="175"/>
      <c r="D27" s="175"/>
      <c r="E27" s="175"/>
      <c r="F27" s="175"/>
      <c r="G27" s="52"/>
      <c r="H27" s="52"/>
      <c r="I27" s="52"/>
      <c r="J27" s="52"/>
      <c r="K27" s="52"/>
      <c r="L27" s="52"/>
      <c r="M27" s="52"/>
      <c r="N27" s="52"/>
      <c r="O27" s="52"/>
      <c r="P27" s="31"/>
    </row>
    <row r="28" spans="1:17" x14ac:dyDescent="0.25">
      <c r="A28" s="7" t="s">
        <v>10</v>
      </c>
      <c r="B28" s="72"/>
      <c r="C28" s="72"/>
      <c r="D28" s="72"/>
      <c r="E28" s="72"/>
      <c r="F28" s="72"/>
      <c r="G28" s="73"/>
      <c r="H28" s="73"/>
      <c r="I28" s="73"/>
      <c r="J28" s="73"/>
      <c r="K28" s="73"/>
      <c r="L28" s="53"/>
      <c r="M28" s="53"/>
      <c r="N28" s="53"/>
      <c r="O28" s="53"/>
      <c r="P28" s="8"/>
    </row>
    <row r="29" spans="1:17" x14ac:dyDescent="0.25">
      <c r="A29" s="9" t="s">
        <v>11</v>
      </c>
      <c r="B29" s="62">
        <f>+B13+B20</f>
        <v>0</v>
      </c>
      <c r="C29" s="62">
        <f>+C13+C20</f>
        <v>0</v>
      </c>
      <c r="D29" s="62">
        <f t="shared" ref="D29:N29" si="6">+D13+D20</f>
        <v>0</v>
      </c>
      <c r="E29" s="62">
        <f t="shared" si="6"/>
        <v>0</v>
      </c>
      <c r="F29" s="62">
        <f t="shared" si="6"/>
        <v>0</v>
      </c>
      <c r="G29" s="62">
        <f t="shared" si="6"/>
        <v>4288</v>
      </c>
      <c r="H29" s="62">
        <f t="shared" si="6"/>
        <v>0</v>
      </c>
      <c r="I29" s="62">
        <f t="shared" si="6"/>
        <v>0</v>
      </c>
      <c r="J29" s="62">
        <f t="shared" si="6"/>
        <v>0</v>
      </c>
      <c r="K29" s="62">
        <f t="shared" si="6"/>
        <v>0</v>
      </c>
      <c r="L29" s="62">
        <f t="shared" si="6"/>
        <v>0</v>
      </c>
      <c r="M29" s="62">
        <f t="shared" si="6"/>
        <v>0</v>
      </c>
      <c r="N29" s="62">
        <f t="shared" si="6"/>
        <v>0</v>
      </c>
      <c r="O29" s="54"/>
      <c r="P29" s="10">
        <f>MAX(B29:N29)</f>
        <v>4288</v>
      </c>
    </row>
    <row r="30" spans="1:17" x14ac:dyDescent="0.25">
      <c r="A30" s="9" t="s">
        <v>7</v>
      </c>
      <c r="B30" s="62">
        <f>+B14+B21</f>
        <v>0</v>
      </c>
      <c r="C30" s="62">
        <f>+C14+C21</f>
        <v>0</v>
      </c>
      <c r="D30" s="62">
        <f t="shared" ref="D30:N30" si="7">+D14+D21</f>
        <v>0</v>
      </c>
      <c r="E30" s="62">
        <f t="shared" si="7"/>
        <v>0</v>
      </c>
      <c r="F30" s="62">
        <f t="shared" si="7"/>
        <v>0</v>
      </c>
      <c r="G30" s="62">
        <f t="shared" si="7"/>
        <v>2279765.4500000002</v>
      </c>
      <c r="H30" s="62">
        <f t="shared" si="7"/>
        <v>0</v>
      </c>
      <c r="I30" s="62">
        <f t="shared" si="7"/>
        <v>0</v>
      </c>
      <c r="J30" s="62">
        <f t="shared" si="7"/>
        <v>0</v>
      </c>
      <c r="K30" s="62">
        <f t="shared" si="7"/>
        <v>0</v>
      </c>
      <c r="L30" s="62">
        <f t="shared" si="7"/>
        <v>0</v>
      </c>
      <c r="M30" s="62">
        <f t="shared" si="7"/>
        <v>0</v>
      </c>
      <c r="N30" s="62">
        <f t="shared" si="7"/>
        <v>0</v>
      </c>
      <c r="O30" s="62">
        <f>SUM(B30:N30)</f>
        <v>2279765.4500000002</v>
      </c>
      <c r="P30" s="9"/>
    </row>
    <row r="31" spans="1:17" s="24" customFormat="1" x14ac:dyDescent="0.25">
      <c r="A31" s="272" t="s">
        <v>12</v>
      </c>
      <c r="B31" s="376" t="s">
        <v>493</v>
      </c>
      <c r="C31" s="246"/>
      <c r="D31" s="246"/>
      <c r="E31" s="246"/>
      <c r="F31" s="246"/>
      <c r="G31" s="247"/>
      <c r="H31" s="247"/>
      <c r="I31" s="247"/>
      <c r="J31" s="247"/>
      <c r="K31" s="36"/>
      <c r="L31" s="36"/>
      <c r="M31" s="36"/>
      <c r="N31" s="36"/>
      <c r="O31" s="47"/>
      <c r="P31" s="36"/>
    </row>
    <row r="32" spans="1:17" x14ac:dyDescent="0.25">
      <c r="A32" s="3" t="s">
        <v>6</v>
      </c>
      <c r="B32" s="380">
        <f>VLOOKUP($B$31,BancoTabla_1[],5,FALSE)</f>
        <v>0</v>
      </c>
      <c r="C32" s="380">
        <f>VLOOKUP($B$31,BancoTabla_2[],5,FALSE)</f>
        <v>0</v>
      </c>
      <c r="D32" s="380">
        <f>VLOOKUP($B$31,BancoTabla_3[],5,FALSE)</f>
        <v>0</v>
      </c>
      <c r="E32" s="380">
        <f>VLOOKUP($B$31,BancoTabla_4[],5,FALSE)</f>
        <v>0</v>
      </c>
      <c r="F32" s="380">
        <f>VLOOKUP($B$31,BancoTabla_5[],5,FALSE)</f>
        <v>0</v>
      </c>
      <c r="G32" s="380">
        <f>VLOOKUP($B$31,BancoTabla_6[],5,FALSE)</f>
        <v>4758.4574380000004</v>
      </c>
      <c r="H32" s="380">
        <f>VLOOKUP($B$31,BancoTabla_7[],5,FALSE)</f>
        <v>0</v>
      </c>
      <c r="I32" s="380">
        <f>VLOOKUP($B$31,BancoTabla_8[],5,FALSE)</f>
        <v>0</v>
      </c>
      <c r="J32" s="380">
        <f>VLOOKUP($B$31,BancoTabla_9[],5,FALSE)</f>
        <v>0</v>
      </c>
      <c r="K32" s="380">
        <f>VLOOKUP($B$31,BancoTabla_10[],5,FALSE)</f>
        <v>0</v>
      </c>
      <c r="L32" s="380">
        <f>VLOOKUP($B$31,BancoTabla_11[],5,FALSE)</f>
        <v>0</v>
      </c>
      <c r="M32" s="380">
        <f>VLOOKUP($B$31,BancoTabla_12[],5,FALSE)</f>
        <v>0</v>
      </c>
      <c r="N32" s="380">
        <f>VLOOKUP($B$31,BancoTabla_13[],5,FALSE)</f>
        <v>0</v>
      </c>
      <c r="O32" s="79"/>
      <c r="P32" s="43">
        <f>MAX(B32:N32)</f>
        <v>4758.4574380000004</v>
      </c>
      <c r="Q32" s="334">
        <f>P32/1000</f>
        <v>4.7584574380000006</v>
      </c>
    </row>
    <row r="33" spans="1:18" x14ac:dyDescent="0.25">
      <c r="A33" s="3" t="s">
        <v>7</v>
      </c>
      <c r="B33" s="380">
        <f>VLOOKUP($B$31,BancoTabla_1[],8,FALSE)</f>
        <v>0</v>
      </c>
      <c r="C33" s="380">
        <f>VLOOKUP($B$31,BancoTabla_2[],8,FALSE)</f>
        <v>0</v>
      </c>
      <c r="D33" s="380">
        <f>VLOOKUP($B$31,BancoTabla_3[],8,FALSE)</f>
        <v>0</v>
      </c>
      <c r="E33" s="380">
        <f>VLOOKUP($B$31,BancoTabla_4[],8,FALSE)</f>
        <v>0</v>
      </c>
      <c r="F33" s="380">
        <f>VLOOKUP($B$31,BancoTabla_5[],8,FALSE)</f>
        <v>0</v>
      </c>
      <c r="G33" s="380">
        <f>VLOOKUP($B$31,BancoTabla_6[],8,FALSE)</f>
        <v>2473071.3672210001</v>
      </c>
      <c r="H33" s="380">
        <f>VLOOKUP($B$31,BancoTabla_7[],8,FALSE)</f>
        <v>0</v>
      </c>
      <c r="I33" s="380">
        <f>VLOOKUP($B$31,BancoTabla_8[],8,FALSE)</f>
        <v>0</v>
      </c>
      <c r="J33" s="380">
        <f>VLOOKUP($B$31,BancoTabla_9[],8,FALSE)</f>
        <v>0</v>
      </c>
      <c r="K33" s="380">
        <f>VLOOKUP($B$31,BancoTabla_10[],8,FALSE)</f>
        <v>0</v>
      </c>
      <c r="L33" s="380">
        <f>VLOOKUP($B$31,BancoTabla_11[],8,FALSE)</f>
        <v>0</v>
      </c>
      <c r="M33" s="380">
        <f>VLOOKUP($B$31,BancoTabla_12[],8,FALSE)</f>
        <v>0</v>
      </c>
      <c r="N33" s="380">
        <f>VLOOKUP($B$31,BancoTabla_13[],8,FALSE)</f>
        <v>0</v>
      </c>
      <c r="O33" s="47">
        <f>SUM(B33:N33)</f>
        <v>2473071.3672210001</v>
      </c>
      <c r="P33" s="43">
        <f>SUM(B33:N33)/(COUNTIF(B33:N33,"&gt;0"))</f>
        <v>2473071.3672210001</v>
      </c>
      <c r="R33" s="39"/>
    </row>
    <row r="34" spans="1:18" x14ac:dyDescent="0.25">
      <c r="A34" s="3" t="s">
        <v>16</v>
      </c>
      <c r="B34" s="37" t="e">
        <f>+((B32/B36)^2-(B32^2))^(0.5)</f>
        <v>#DIV/0!</v>
      </c>
      <c r="C34" s="37" t="e">
        <f>+((C32/C36)^2-(C32^2))^(0.5)</f>
        <v>#DIV/0!</v>
      </c>
      <c r="D34" s="37" t="e">
        <f t="shared" ref="D34:K34" si="8">+((D32/D36)^2-(D32^2))^(0.5)</f>
        <v>#DIV/0!</v>
      </c>
      <c r="E34" s="37" t="e">
        <f t="shared" si="8"/>
        <v>#DIV/0!</v>
      </c>
      <c r="F34" s="37" t="e">
        <f t="shared" si="8"/>
        <v>#DIV/0!</v>
      </c>
      <c r="G34" s="37">
        <f t="shared" si="8"/>
        <v>270.00857434302293</v>
      </c>
      <c r="H34" s="37" t="e">
        <f t="shared" si="8"/>
        <v>#DIV/0!</v>
      </c>
      <c r="I34" s="37" t="e">
        <f t="shared" si="8"/>
        <v>#DIV/0!</v>
      </c>
      <c r="J34" s="37" t="e">
        <f t="shared" si="8"/>
        <v>#DIV/0!</v>
      </c>
      <c r="K34" s="37" t="e">
        <f t="shared" si="8"/>
        <v>#DIV/0!</v>
      </c>
      <c r="L34" s="37" t="e">
        <f>+((L32/L36)^2-(L32^2))^(0.5)</f>
        <v>#DIV/0!</v>
      </c>
      <c r="M34" s="37" t="e">
        <f>+((M32/M36)^2-(M32^2))^(0.5)</f>
        <v>#DIV/0!</v>
      </c>
      <c r="N34" s="37" t="e">
        <f>+((N32/N36)^2-(N32^2))^(0.5)</f>
        <v>#DIV/0!</v>
      </c>
      <c r="O34" s="37"/>
      <c r="P34" s="4">
        <f>HLOOKUP(P32,B32:N34,3,FALSE)</f>
        <v>270.00857434302293</v>
      </c>
    </row>
    <row r="35" spans="1:18" x14ac:dyDescent="0.25">
      <c r="A35" s="3" t="s">
        <v>8</v>
      </c>
      <c r="B35" s="37">
        <f>+B33/(24*B$8)</f>
        <v>0</v>
      </c>
      <c r="C35" s="37">
        <f>+C33/(24*C$8)</f>
        <v>0</v>
      </c>
      <c r="D35" s="37">
        <f t="shared" ref="D35:K35" si="9">+D33/(24*D$8)</f>
        <v>0</v>
      </c>
      <c r="E35" s="37">
        <f t="shared" si="9"/>
        <v>0</v>
      </c>
      <c r="F35" s="37">
        <f>+F33/(24*F$8)</f>
        <v>0</v>
      </c>
      <c r="G35" s="37">
        <f>+G33/(24*G$8)</f>
        <v>3324.0206548669357</v>
      </c>
      <c r="H35" s="37">
        <f t="shared" si="9"/>
        <v>0</v>
      </c>
      <c r="I35" s="37">
        <f t="shared" si="9"/>
        <v>0</v>
      </c>
      <c r="J35" s="37">
        <f t="shared" si="9"/>
        <v>0</v>
      </c>
      <c r="K35" s="37">
        <f t="shared" si="9"/>
        <v>0</v>
      </c>
      <c r="L35" s="37">
        <f>+L33/(24*L$8)</f>
        <v>0</v>
      </c>
      <c r="M35" s="37">
        <f>+M33/(24*M$8)</f>
        <v>0</v>
      </c>
      <c r="N35" s="37">
        <f>+N33/(24*N$8)</f>
        <v>0</v>
      </c>
      <c r="O35" s="6">
        <f>SUM(O33)/(24*O$8)</f>
        <v>282.31408301609588</v>
      </c>
      <c r="P35" s="4">
        <f>O33/(COUNTIF(B33:N33,"&gt;0")*720)</f>
        <v>3434.8213433625001</v>
      </c>
    </row>
    <row r="36" spans="1:18" x14ac:dyDescent="0.25">
      <c r="A36" s="3" t="s">
        <v>9</v>
      </c>
      <c r="B36" s="380">
        <f>VLOOKUP($B$31,BancoTabla_1[],10,FALSE)</f>
        <v>0</v>
      </c>
      <c r="C36" s="380">
        <f>VLOOKUP($B$31,BancoTabla_2[],10,FALSE)</f>
        <v>0</v>
      </c>
      <c r="D36" s="380">
        <f>VLOOKUP($B$31,BancoTabla_3[],10,FALSE)</f>
        <v>0</v>
      </c>
      <c r="E36" s="380">
        <f>VLOOKUP($B$31,BancoTabla_4[],10,FALSE)</f>
        <v>0</v>
      </c>
      <c r="F36" s="380">
        <f>VLOOKUP($B$31,BancoTabla_5[],10,FALSE)</f>
        <v>0</v>
      </c>
      <c r="G36" s="380">
        <f>VLOOKUP($B$31,BancoTabla_6[],10,FALSE)</f>
        <v>0.998394</v>
      </c>
      <c r="H36" s="380">
        <f>VLOOKUP($B$31,BancoTabla_7[],10,FALSE)</f>
        <v>0</v>
      </c>
      <c r="I36" s="380">
        <f>VLOOKUP($B$31,BancoTabla_8[],10,FALSE)</f>
        <v>0</v>
      </c>
      <c r="J36" s="380">
        <f>VLOOKUP($B$31,BancoTabla_9[],10,FALSE)</f>
        <v>0</v>
      </c>
      <c r="K36" s="380">
        <f>VLOOKUP($B$31,BancoTabla_10[],10,FALSE)</f>
        <v>0</v>
      </c>
      <c r="L36" s="380">
        <f>VLOOKUP($B$31,BancoTabla_11[],10,FALSE)</f>
        <v>0</v>
      </c>
      <c r="M36" s="380">
        <f>VLOOKUP($B$31,BancoTabla_12[],10,FALSE)</f>
        <v>0</v>
      </c>
      <c r="N36" s="380">
        <f>VLOOKUP($B$31,BancoTabla_13[],10,FALSE)</f>
        <v>0</v>
      </c>
      <c r="O36" s="6"/>
      <c r="P36" s="4">
        <f>COS(ATAN(P34/P32))</f>
        <v>0.998394</v>
      </c>
    </row>
    <row r="37" spans="1:18" x14ac:dyDescent="0.25">
      <c r="A37" s="3" t="s">
        <v>17</v>
      </c>
      <c r="B37" s="37" t="e">
        <f>+B35/B32</f>
        <v>#DIV/0!</v>
      </c>
      <c r="C37" s="37" t="e">
        <f>+C35/C32</f>
        <v>#DIV/0!</v>
      </c>
      <c r="D37" s="37" t="e">
        <f t="shared" ref="D37:J37" si="10">+D35/D32</f>
        <v>#DIV/0!</v>
      </c>
      <c r="E37" s="37" t="e">
        <f t="shared" si="10"/>
        <v>#DIV/0!</v>
      </c>
      <c r="F37" s="37" t="e">
        <f t="shared" si="10"/>
        <v>#DIV/0!</v>
      </c>
      <c r="G37" s="37">
        <f>+G35/G32</f>
        <v>0.69855004445811242</v>
      </c>
      <c r="H37" s="37" t="e">
        <f t="shared" si="10"/>
        <v>#DIV/0!</v>
      </c>
      <c r="I37" s="37" t="e">
        <f t="shared" si="10"/>
        <v>#DIV/0!</v>
      </c>
      <c r="J37" s="37" t="e">
        <f t="shared" si="10"/>
        <v>#DIV/0!</v>
      </c>
      <c r="K37" s="37" t="e">
        <f>+K35/K32</f>
        <v>#DIV/0!</v>
      </c>
      <c r="L37" s="37" t="e">
        <f>+L35/L32</f>
        <v>#DIV/0!</v>
      </c>
      <c r="M37" s="37" t="e">
        <f>+M35/M32</f>
        <v>#DIV/0!</v>
      </c>
      <c r="N37" s="37" t="e">
        <f>+N35/N32</f>
        <v>#DIV/0!</v>
      </c>
      <c r="O37" s="6"/>
      <c r="P37" s="4">
        <f>+P35/P32</f>
        <v>0.72183504594004944</v>
      </c>
    </row>
    <row r="38" spans="1:18" x14ac:dyDescent="0.25">
      <c r="A38" s="3" t="s">
        <v>18</v>
      </c>
      <c r="B38" s="181" t="e">
        <f>+B29/B32</f>
        <v>#DIV/0!</v>
      </c>
      <c r="C38" s="181" t="e">
        <f>+C29/C32</f>
        <v>#DIV/0!</v>
      </c>
      <c r="D38" s="181" t="e">
        <f t="shared" ref="D38:K38" si="11">+D29/D32</f>
        <v>#DIV/0!</v>
      </c>
      <c r="E38" s="328" t="e">
        <f t="shared" si="11"/>
        <v>#DIV/0!</v>
      </c>
      <c r="F38" s="181" t="e">
        <f t="shared" si="11"/>
        <v>#DIV/0!</v>
      </c>
      <c r="G38" s="181">
        <f t="shared" si="11"/>
        <v>0.90113236397933705</v>
      </c>
      <c r="H38" s="181" t="e">
        <f t="shared" si="11"/>
        <v>#DIV/0!</v>
      </c>
      <c r="I38" s="181" t="e">
        <f t="shared" si="11"/>
        <v>#DIV/0!</v>
      </c>
      <c r="J38" s="181" t="e">
        <f>+J29/J32</f>
        <v>#DIV/0!</v>
      </c>
      <c r="K38" s="181" t="e">
        <f t="shared" si="11"/>
        <v>#DIV/0!</v>
      </c>
      <c r="L38" s="181" t="e">
        <f>+L29/L32</f>
        <v>#DIV/0!</v>
      </c>
      <c r="M38" s="181" t="e">
        <f>+M29/M32</f>
        <v>#DIV/0!</v>
      </c>
      <c r="N38" s="37" t="e">
        <f>+N29/N32</f>
        <v>#DIV/0!</v>
      </c>
      <c r="O38" s="6"/>
      <c r="P38" s="4">
        <f>+P29/P32</f>
        <v>0.90113236397933705</v>
      </c>
    </row>
    <row r="39" spans="1:18" x14ac:dyDescent="0.25">
      <c r="A39" s="3" t="s">
        <v>19</v>
      </c>
      <c r="B39" s="37">
        <f>+B32/$B$40</f>
        <v>0</v>
      </c>
      <c r="C39" s="37">
        <f>+C32/$B$40</f>
        <v>0</v>
      </c>
      <c r="D39" s="37">
        <f t="shared" ref="D39:K39" si="12">+D32/$B$40</f>
        <v>0</v>
      </c>
      <c r="E39" s="37">
        <f t="shared" si="12"/>
        <v>0</v>
      </c>
      <c r="F39" s="37">
        <f t="shared" si="12"/>
        <v>0</v>
      </c>
      <c r="G39" s="37">
        <f t="shared" si="12"/>
        <v>0.50838526011441054</v>
      </c>
      <c r="H39" s="37">
        <f t="shared" si="12"/>
        <v>0</v>
      </c>
      <c r="I39" s="37">
        <f t="shared" si="12"/>
        <v>0</v>
      </c>
      <c r="J39" s="37">
        <f t="shared" si="12"/>
        <v>0</v>
      </c>
      <c r="K39" s="37">
        <f t="shared" si="12"/>
        <v>0</v>
      </c>
      <c r="L39" s="37">
        <f>+L32/$B$40</f>
        <v>0</v>
      </c>
      <c r="M39" s="37">
        <f>+M32/$B$40</f>
        <v>0</v>
      </c>
      <c r="N39" s="37">
        <f>+N32/$B$40</f>
        <v>0</v>
      </c>
      <c r="O39" s="6"/>
      <c r="P39" s="4">
        <f>+P32/$B$40</f>
        <v>0.50838526011441054</v>
      </c>
    </row>
    <row r="40" spans="1:18" x14ac:dyDescent="0.25">
      <c r="A40" s="3" t="s">
        <v>20</v>
      </c>
      <c r="B40" s="37">
        <f>9.375*P36*1000</f>
        <v>9359.9437499999985</v>
      </c>
      <c r="C40" s="37"/>
      <c r="D40" s="37"/>
      <c r="E40" s="37"/>
      <c r="F40" s="37"/>
      <c r="G40" s="36"/>
      <c r="H40" s="36"/>
      <c r="I40" s="36"/>
      <c r="J40" s="36"/>
      <c r="K40" s="37"/>
      <c r="L40" s="37"/>
      <c r="M40" s="37"/>
      <c r="N40" s="37"/>
      <c r="O40" s="37"/>
      <c r="P40" s="4"/>
    </row>
    <row r="41" spans="1:18" x14ac:dyDescent="0.25">
      <c r="B41" s="237">
        <f>B32/$B$40</f>
        <v>0</v>
      </c>
      <c r="C41" s="237">
        <f>C32/$B$40</f>
        <v>0</v>
      </c>
      <c r="D41" s="237">
        <f t="shared" ref="D41:N41" si="13">D32/$B$40</f>
        <v>0</v>
      </c>
      <c r="E41" s="237">
        <f t="shared" si="13"/>
        <v>0</v>
      </c>
      <c r="F41" s="237">
        <f t="shared" si="13"/>
        <v>0</v>
      </c>
      <c r="G41" s="237">
        <f t="shared" si="13"/>
        <v>0.50838526011441054</v>
      </c>
      <c r="H41" s="237">
        <f t="shared" si="13"/>
        <v>0</v>
      </c>
      <c r="I41" s="237">
        <f t="shared" si="13"/>
        <v>0</v>
      </c>
      <c r="J41" s="237">
        <f t="shared" si="13"/>
        <v>0</v>
      </c>
      <c r="K41" s="237">
        <f t="shared" si="13"/>
        <v>0</v>
      </c>
      <c r="L41" s="237">
        <f t="shared" si="13"/>
        <v>0</v>
      </c>
      <c r="M41" s="237">
        <f t="shared" si="13"/>
        <v>0</v>
      </c>
      <c r="N41" s="237">
        <f t="shared" si="13"/>
        <v>0</v>
      </c>
      <c r="O41" s="24"/>
    </row>
    <row r="42" spans="1:18" x14ac:dyDescent="0.25">
      <c r="B42" s="40"/>
      <c r="C42" s="40"/>
      <c r="D42" s="40"/>
      <c r="E42" s="40"/>
      <c r="F42" s="40"/>
      <c r="G42" s="24"/>
      <c r="H42" s="24"/>
      <c r="I42" s="24"/>
      <c r="J42" s="24"/>
      <c r="K42" s="24"/>
      <c r="L42" s="24"/>
      <c r="M42" s="24"/>
      <c r="N42" s="24"/>
      <c r="O42" s="24"/>
    </row>
    <row r="43" spans="1:18" x14ac:dyDescent="0.25">
      <c r="A43" s="15" t="s">
        <v>14</v>
      </c>
      <c r="B43" s="68"/>
      <c r="C43" s="68"/>
      <c r="D43" s="68"/>
      <c r="E43" s="68"/>
      <c r="F43" s="68"/>
      <c r="G43" s="69"/>
      <c r="H43" s="69"/>
      <c r="I43" s="69"/>
      <c r="J43" s="69"/>
      <c r="K43" s="57"/>
      <c r="L43" s="57"/>
      <c r="M43" s="57"/>
      <c r="N43" s="57"/>
      <c r="O43" s="57"/>
      <c r="P43" s="16"/>
    </row>
    <row r="44" spans="1:18" x14ac:dyDescent="0.25">
      <c r="A44" s="16" t="s">
        <v>11</v>
      </c>
      <c r="B44" s="63">
        <f>+B32</f>
        <v>0</v>
      </c>
      <c r="C44" s="63">
        <f>+C32</f>
        <v>0</v>
      </c>
      <c r="D44" s="63">
        <f t="shared" ref="D44:M45" si="14">+D32</f>
        <v>0</v>
      </c>
      <c r="E44" s="63">
        <f t="shared" si="14"/>
        <v>0</v>
      </c>
      <c r="F44" s="63">
        <f t="shared" si="14"/>
        <v>0</v>
      </c>
      <c r="G44" s="63">
        <f t="shared" si="14"/>
        <v>4758.4574380000004</v>
      </c>
      <c r="H44" s="63">
        <f t="shared" si="14"/>
        <v>0</v>
      </c>
      <c r="I44" s="63">
        <f t="shared" si="14"/>
        <v>0</v>
      </c>
      <c r="J44" s="63">
        <f t="shared" si="14"/>
        <v>0</v>
      </c>
      <c r="K44" s="63">
        <f t="shared" si="14"/>
        <v>0</v>
      </c>
      <c r="L44" s="63">
        <f t="shared" si="14"/>
        <v>0</v>
      </c>
      <c r="M44" s="63">
        <f t="shared" si="14"/>
        <v>0</v>
      </c>
      <c r="N44" s="63">
        <f>+N32</f>
        <v>0</v>
      </c>
      <c r="O44" s="63"/>
      <c r="P44" s="45">
        <f>MAX(B44:N44)</f>
        <v>4758.4574380000004</v>
      </c>
    </row>
    <row r="45" spans="1:18" x14ac:dyDescent="0.25">
      <c r="A45" s="16" t="s">
        <v>7</v>
      </c>
      <c r="B45" s="63">
        <f>+B33</f>
        <v>0</v>
      </c>
      <c r="C45" s="63">
        <f>+C33</f>
        <v>0</v>
      </c>
      <c r="D45" s="63">
        <f t="shared" si="14"/>
        <v>0</v>
      </c>
      <c r="E45" s="63">
        <f t="shared" si="14"/>
        <v>0</v>
      </c>
      <c r="F45" s="63">
        <f t="shared" si="14"/>
        <v>0</v>
      </c>
      <c r="G45" s="63">
        <f t="shared" si="14"/>
        <v>2473071.3672210001</v>
      </c>
      <c r="H45" s="63">
        <f t="shared" si="14"/>
        <v>0</v>
      </c>
      <c r="I45" s="63">
        <f t="shared" si="14"/>
        <v>0</v>
      </c>
      <c r="J45" s="63">
        <f t="shared" si="14"/>
        <v>0</v>
      </c>
      <c r="K45" s="63">
        <f t="shared" si="14"/>
        <v>0</v>
      </c>
      <c r="L45" s="63">
        <f t="shared" si="14"/>
        <v>0</v>
      </c>
      <c r="M45" s="63">
        <f t="shared" si="14"/>
        <v>0</v>
      </c>
      <c r="N45" s="63">
        <f>+N33</f>
        <v>0</v>
      </c>
      <c r="O45" s="63">
        <f>SUM(B45:N45)</f>
        <v>2473071.3672210001</v>
      </c>
      <c r="P45" s="43"/>
    </row>
    <row r="46" spans="1:18" x14ac:dyDescent="0.25">
      <c r="B46" s="138"/>
      <c r="C46" s="138"/>
      <c r="D46" s="138"/>
      <c r="E46" s="138"/>
      <c r="F46" s="138"/>
      <c r="G46" s="138"/>
      <c r="H46" s="138"/>
      <c r="I46" s="138"/>
      <c r="J46" s="138"/>
      <c r="K46" s="138"/>
      <c r="L46" s="138"/>
      <c r="M46" s="138"/>
      <c r="N46" s="138"/>
      <c r="O46" s="138"/>
      <c r="P46" s="39"/>
    </row>
    <row r="47" spans="1:18" x14ac:dyDescent="0.25">
      <c r="A47" s="12" t="s">
        <v>21</v>
      </c>
      <c r="B47" s="171"/>
      <c r="C47" s="171"/>
      <c r="D47" s="171"/>
      <c r="E47" s="171"/>
      <c r="F47" s="171"/>
      <c r="G47" s="171"/>
      <c r="H47" s="171"/>
      <c r="I47" s="171"/>
      <c r="J47" s="171"/>
      <c r="K47" s="136"/>
      <c r="L47" s="136"/>
      <c r="M47" s="136"/>
      <c r="N47" s="136"/>
      <c r="O47" s="136"/>
      <c r="P47" s="137"/>
    </row>
    <row r="48" spans="1:18" x14ac:dyDescent="0.25">
      <c r="A48" s="13" t="s">
        <v>6</v>
      </c>
      <c r="B48" s="49">
        <f t="shared" ref="B48:K48" si="15">+B44</f>
        <v>0</v>
      </c>
      <c r="C48" s="49">
        <f>+C44</f>
        <v>0</v>
      </c>
      <c r="D48" s="49">
        <f t="shared" si="15"/>
        <v>0</v>
      </c>
      <c r="E48" s="49">
        <f t="shared" si="15"/>
        <v>0</v>
      </c>
      <c r="F48" s="49">
        <f t="shared" si="15"/>
        <v>0</v>
      </c>
      <c r="G48" s="49">
        <f t="shared" si="15"/>
        <v>4758.4574380000004</v>
      </c>
      <c r="H48" s="49">
        <f t="shared" si="15"/>
        <v>0</v>
      </c>
      <c r="I48" s="49">
        <f t="shared" si="15"/>
        <v>0</v>
      </c>
      <c r="J48" s="49">
        <f>+J44</f>
        <v>0</v>
      </c>
      <c r="K48" s="49">
        <f t="shared" si="15"/>
        <v>0</v>
      </c>
      <c r="L48" s="49">
        <f>+L44</f>
        <v>0</v>
      </c>
      <c r="M48" s="49">
        <f>+M44</f>
        <v>0</v>
      </c>
      <c r="N48" s="49">
        <f>+N44</f>
        <v>0</v>
      </c>
      <c r="O48" s="82"/>
      <c r="P48" s="44">
        <f>MAX(B48:N48)</f>
        <v>4758.4574380000004</v>
      </c>
    </row>
    <row r="49" spans="1:16" x14ac:dyDescent="0.25">
      <c r="A49" s="14" t="s">
        <v>18</v>
      </c>
      <c r="B49" s="14" t="e">
        <f t="shared" ref="B49:M49" si="16">+B44/B48</f>
        <v>#DIV/0!</v>
      </c>
      <c r="C49" s="14" t="e">
        <f>+C44/C48</f>
        <v>#DIV/0!</v>
      </c>
      <c r="D49" s="14" t="e">
        <f t="shared" si="16"/>
        <v>#DIV/0!</v>
      </c>
      <c r="E49" s="14" t="e">
        <f t="shared" si="16"/>
        <v>#DIV/0!</v>
      </c>
      <c r="F49" s="14" t="e">
        <f t="shared" si="16"/>
        <v>#DIV/0!</v>
      </c>
      <c r="G49" s="14">
        <f t="shared" si="16"/>
        <v>1</v>
      </c>
      <c r="H49" s="14" t="e">
        <f t="shared" si="16"/>
        <v>#DIV/0!</v>
      </c>
      <c r="I49" s="14" t="e">
        <f t="shared" si="16"/>
        <v>#DIV/0!</v>
      </c>
      <c r="J49" s="14" t="e">
        <f t="shared" si="16"/>
        <v>#DIV/0!</v>
      </c>
      <c r="K49" s="14" t="e">
        <f t="shared" si="16"/>
        <v>#DIV/0!</v>
      </c>
      <c r="L49" s="14" t="e">
        <f t="shared" si="16"/>
        <v>#DIV/0!</v>
      </c>
      <c r="M49" s="14" t="e">
        <f t="shared" si="16"/>
        <v>#DIV/0!</v>
      </c>
      <c r="N49" s="14" t="e">
        <f>+N44/N48</f>
        <v>#DIV/0!</v>
      </c>
      <c r="O49" s="5"/>
      <c r="P49" s="14">
        <f>+P44/P48</f>
        <v>1</v>
      </c>
    </row>
    <row r="50" spans="1:16" x14ac:dyDescent="0.25">
      <c r="A50" s="33"/>
      <c r="B50" s="33"/>
      <c r="C50" s="33"/>
      <c r="D50" s="33"/>
      <c r="E50" s="33"/>
      <c r="F50" s="33"/>
      <c r="G50" s="33"/>
      <c r="H50" s="33"/>
      <c r="I50" s="33"/>
      <c r="J50" s="33"/>
      <c r="K50" s="33"/>
      <c r="L50" s="33"/>
      <c r="M50" s="33"/>
      <c r="N50" s="33"/>
      <c r="O50" s="48"/>
      <c r="P50" s="33"/>
    </row>
    <row r="51" spans="1:16" x14ac:dyDescent="0.25">
      <c r="A51" s="33"/>
      <c r="B51" s="33"/>
      <c r="C51" s="33"/>
      <c r="D51" s="33"/>
      <c r="E51" s="33"/>
      <c r="F51" s="61" t="s">
        <v>160</v>
      </c>
      <c r="G51" s="145">
        <f>P13+P20</f>
        <v>4288</v>
      </c>
      <c r="H51" s="33"/>
      <c r="I51" s="33"/>
      <c r="J51" s="33"/>
      <c r="K51" s="33"/>
      <c r="L51" s="33"/>
      <c r="M51" s="33"/>
      <c r="N51" s="33"/>
      <c r="O51" s="48"/>
      <c r="P51" s="33"/>
    </row>
    <row r="52" spans="1:16" x14ac:dyDescent="0.25">
      <c r="F52" s="61" t="s">
        <v>161</v>
      </c>
      <c r="G52" s="145">
        <f>P32</f>
        <v>4758.4574380000004</v>
      </c>
      <c r="M52" s="39"/>
      <c r="N52" s="39"/>
    </row>
    <row r="53" spans="1:16" x14ac:dyDescent="0.25">
      <c r="A53" s="39"/>
      <c r="B53" s="39"/>
      <c r="C53" s="39"/>
      <c r="D53" s="39"/>
      <c r="E53" s="39"/>
      <c r="F53" s="146" t="s">
        <v>162</v>
      </c>
      <c r="G53" s="147">
        <f>G51/G52</f>
        <v>0.90113236397933705</v>
      </c>
    </row>
    <row r="55" spans="1:16" x14ac:dyDescent="0.25">
      <c r="A55" s="271" t="s">
        <v>209</v>
      </c>
    </row>
    <row r="86" spans="1:1" x14ac:dyDescent="0.25">
      <c r="A86" s="271" t="s">
        <v>210</v>
      </c>
    </row>
  </sheetData>
  <mergeCells count="21">
    <mergeCell ref="C9:C10"/>
    <mergeCell ref="A9:A10"/>
    <mergeCell ref="B9:B10"/>
    <mergeCell ref="D9:D10"/>
    <mergeCell ref="E9:E10"/>
    <mergeCell ref="E2:M2"/>
    <mergeCell ref="E3:M3"/>
    <mergeCell ref="E4:M4"/>
    <mergeCell ref="E5:M5"/>
    <mergeCell ref="F9:F10"/>
    <mergeCell ref="E6:M6"/>
    <mergeCell ref="J9:J10"/>
    <mergeCell ref="N9:N10"/>
    <mergeCell ref="G9:G10"/>
    <mergeCell ref="H9:H10"/>
    <mergeCell ref="I9:I10"/>
    <mergeCell ref="P9:P10"/>
    <mergeCell ref="K9:K10"/>
    <mergeCell ref="L9:L10"/>
    <mergeCell ref="M9:M10"/>
    <mergeCell ref="O9:O10"/>
  </mergeCells>
  <phoneticPr fontId="5" type="noConversion"/>
  <printOptions horizontalCentered="1" verticalCentered="1"/>
  <pageMargins left="0.19685039370078741" right="0.19685039370078741" top="0.19685039370078741" bottom="0.19685039370078741" header="0" footer="0"/>
  <pageSetup scale="70" orientation="landscape" horizontalDpi="300" verticalDpi="300" r:id="rId1"/>
  <headerFooter alignWithMargins="0">
    <oddFooter>&amp;RElaboro: Departamento de Planeacion Campeche</oddFooter>
  </headerFooter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Hoja3">
    <tabColor theme="8" tint="0.59999389629810485"/>
  </sheetPr>
  <dimension ref="A1:R67"/>
  <sheetViews>
    <sheetView zoomScale="110" zoomScaleNormal="110" zoomScaleSheetLayoutView="100" workbookViewId="0">
      <selection activeCell="E4" sqref="E4:M4"/>
    </sheetView>
  </sheetViews>
  <sheetFormatPr baseColWidth="10" defaultRowHeight="13.2" x14ac:dyDescent="0.25"/>
  <cols>
    <col min="1" max="1" width="14.109375" bestFit="1" customWidth="1"/>
    <col min="2" max="16" width="15.6640625" customWidth="1"/>
    <col min="18" max="18" width="12.33203125" bestFit="1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24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211</v>
      </c>
      <c r="B12" s="262"/>
      <c r="C12" s="262"/>
      <c r="D12" s="262"/>
      <c r="E12" s="262"/>
      <c r="F12" s="65"/>
      <c r="G12" s="66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3417.2633460000002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3417.2633460000002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1645812.2174209999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1645812.2174209999</v>
      </c>
      <c r="P14" s="43">
        <f>SUM(B14:N14)/(COUNTIF(B14:N14,"&gt;0"))</f>
        <v>1645812.2174209999</v>
      </c>
    </row>
    <row r="15" spans="1:16" x14ac:dyDescent="0.25">
      <c r="A15" s="3" t="s">
        <v>16</v>
      </c>
      <c r="B15" s="37" t="e">
        <f>+((B13/B17)^2-(B13^2))^(0.5)</f>
        <v>#DIV/0!</v>
      </c>
      <c r="C15" s="37" t="e">
        <f>+((C13/C17)^2-(C13^2))^(0.5)</f>
        <v>#DIV/0!</v>
      </c>
      <c r="D15" s="37" t="e">
        <f t="shared" ref="D15:N15" si="0">+((D13/D17)^2-(D13^2))^(0.5)</f>
        <v>#DIV/0!</v>
      </c>
      <c r="E15" s="37" t="e">
        <f t="shared" si="0"/>
        <v>#DIV/0!</v>
      </c>
      <c r="F15" s="37" t="e">
        <f t="shared" si="0"/>
        <v>#DIV/0!</v>
      </c>
      <c r="G15" s="37">
        <f t="shared" si="0"/>
        <v>297.61356007280438</v>
      </c>
      <c r="H15" s="37" t="e">
        <f t="shared" si="0"/>
        <v>#DIV/0!</v>
      </c>
      <c r="I15" s="37" t="e">
        <f t="shared" si="0"/>
        <v>#DIV/0!</v>
      </c>
      <c r="J15" s="37" t="e">
        <f t="shared" si="0"/>
        <v>#DIV/0!</v>
      </c>
      <c r="K15" s="37" t="e">
        <f t="shared" si="0"/>
        <v>#DIV/0!</v>
      </c>
      <c r="L15" s="37" t="e">
        <f t="shared" si="0"/>
        <v>#DIV/0!</v>
      </c>
      <c r="M15" s="37" t="e">
        <f t="shared" si="0"/>
        <v>#DIV/0!</v>
      </c>
      <c r="N15" s="37" t="e">
        <f t="shared" si="0"/>
        <v>#DIV/0!</v>
      </c>
      <c r="O15" s="37"/>
      <c r="P15" s="4">
        <f>HLOOKUP(P13,B13:N15,3,FALSE)</f>
        <v>297.61356007280438</v>
      </c>
    </row>
    <row r="16" spans="1:16" x14ac:dyDescent="0.25">
      <c r="A16" s="3" t="s">
        <v>8</v>
      </c>
      <c r="B16" s="37">
        <f>+B14/(24*B$8)</f>
        <v>0</v>
      </c>
      <c r="C16" s="37">
        <f>+C14/(24*C$8)</f>
        <v>0</v>
      </c>
      <c r="D16" s="37">
        <f>+D14/(24*D$8)</f>
        <v>0</v>
      </c>
      <c r="E16" s="37">
        <f t="shared" ref="E16:N16" si="1">+E14/(24*E$8)</f>
        <v>0</v>
      </c>
      <c r="F16" s="37">
        <f t="shared" si="1"/>
        <v>0</v>
      </c>
      <c r="G16" s="37">
        <f t="shared" si="1"/>
        <v>2212.1131954583334</v>
      </c>
      <c r="H16" s="37">
        <f t="shared" si="1"/>
        <v>0</v>
      </c>
      <c r="I16" s="37">
        <f t="shared" si="1"/>
        <v>0</v>
      </c>
      <c r="J16" s="37">
        <f t="shared" si="1"/>
        <v>0</v>
      </c>
      <c r="K16" s="37">
        <f t="shared" si="1"/>
        <v>0</v>
      </c>
      <c r="L16" s="37">
        <f t="shared" si="1"/>
        <v>0</v>
      </c>
      <c r="M16" s="37">
        <f t="shared" si="1"/>
        <v>0</v>
      </c>
      <c r="N16" s="37">
        <f t="shared" si="1"/>
        <v>0</v>
      </c>
      <c r="O16" s="6">
        <f>SUM(O14)/(24*O$8)</f>
        <v>187.87810701152966</v>
      </c>
      <c r="P16" s="4">
        <f>O14/(COUNTIF(B14:N14,"&gt;0")*720)</f>
        <v>2285.8503019736108</v>
      </c>
    </row>
    <row r="17" spans="1:16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0.99622900000000003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0.99622900000000003</v>
      </c>
    </row>
    <row r="18" spans="1:16" x14ac:dyDescent="0.25">
      <c r="A18" s="3" t="s">
        <v>17</v>
      </c>
      <c r="B18" s="37" t="e">
        <f>+B16/B13</f>
        <v>#DIV/0!</v>
      </c>
      <c r="C18" s="37" t="e">
        <f>+C16/C13</f>
        <v>#DIV/0!</v>
      </c>
      <c r="D18" s="37" t="e">
        <f t="shared" ref="D18:K18" si="2">+D16/D13</f>
        <v>#DIV/0!</v>
      </c>
      <c r="E18" s="37" t="e">
        <f t="shared" si="2"/>
        <v>#DIV/0!</v>
      </c>
      <c r="F18" s="37" t="e">
        <f t="shared" si="2"/>
        <v>#DIV/0!</v>
      </c>
      <c r="G18" s="37">
        <f t="shared" si="2"/>
        <v>0.64733471537909781</v>
      </c>
      <c r="H18" s="37" t="e">
        <f t="shared" si="2"/>
        <v>#DIV/0!</v>
      </c>
      <c r="I18" s="37" t="e">
        <f t="shared" si="2"/>
        <v>#DIV/0!</v>
      </c>
      <c r="J18" s="37" t="e">
        <f t="shared" si="2"/>
        <v>#DIV/0!</v>
      </c>
      <c r="K18" s="37" t="e">
        <f t="shared" si="2"/>
        <v>#DIV/0!</v>
      </c>
      <c r="L18" s="37" t="e">
        <f>+L16/L13</f>
        <v>#DIV/0!</v>
      </c>
      <c r="M18" s="37" t="e">
        <f>+M16/M13</f>
        <v>#DIV/0!</v>
      </c>
      <c r="N18" s="37" t="e">
        <f>+N16/N13</f>
        <v>#DIV/0!</v>
      </c>
      <c r="O18" s="6"/>
      <c r="P18" s="4">
        <f>+P16/P13</f>
        <v>0.66891253922506755</v>
      </c>
    </row>
    <row r="19" spans="1:16" s="24" customFormat="1" x14ac:dyDescent="0.25">
      <c r="A19" s="271" t="s">
        <v>212</v>
      </c>
      <c r="B19" s="65"/>
      <c r="C19" s="65"/>
      <c r="D19" s="65"/>
      <c r="E19" s="65" t="s">
        <v>62</v>
      </c>
      <c r="F19" s="263"/>
      <c r="G19" s="265"/>
      <c r="H19" s="66"/>
      <c r="I19" s="66"/>
      <c r="J19" s="66"/>
      <c r="K19" s="36"/>
      <c r="L19" s="50"/>
      <c r="M19" s="50"/>
      <c r="N19" s="50"/>
      <c r="O19" s="50"/>
      <c r="P19" s="50"/>
    </row>
    <row r="20" spans="1:16" x14ac:dyDescent="0.25">
      <c r="A20" s="3" t="s">
        <v>6</v>
      </c>
      <c r="B20" s="380">
        <f>VLOOKUP($A$19,TABLA_1[],5,FALSE)</f>
        <v>0</v>
      </c>
      <c r="C20" s="380">
        <f>VLOOKUP($A$19,TABLA_2[],5,FALSE)</f>
        <v>0</v>
      </c>
      <c r="D20" s="380">
        <f>VLOOKUP($A$19,TABLA_3[],5,FALSE)</f>
        <v>0</v>
      </c>
      <c r="E20" s="380">
        <f>VLOOKUP($A$19,TABLA_4[],5,FALSE)</f>
        <v>0</v>
      </c>
      <c r="F20" s="380">
        <f>VLOOKUP($A$19,TABLA_5[],5,FALSE)</f>
        <v>0</v>
      </c>
      <c r="G20" s="380">
        <f>VLOOKUP($A$19,TABLA_6[],5,FALSE)</f>
        <v>3780.5950109999999</v>
      </c>
      <c r="H20" s="380">
        <f>VLOOKUP($A$19,TABLA_7[],5,FALSE)</f>
        <v>0</v>
      </c>
      <c r="I20" s="380">
        <f>VLOOKUP($A$19,TABLA_8[],5,FALSE)</f>
        <v>0</v>
      </c>
      <c r="J20" s="380">
        <f>VLOOKUP($A$19,TABLA_9[],5,FALSE)</f>
        <v>0</v>
      </c>
      <c r="K20" s="380">
        <f>VLOOKUP($A$19,TABLA_10[],5,FALSE)</f>
        <v>0</v>
      </c>
      <c r="L20" s="380">
        <f>VLOOKUP($A$19,TABLA_11[],5,FALSE)</f>
        <v>0</v>
      </c>
      <c r="M20" s="380">
        <f>VLOOKUP($A$19,TABLA_12[],5,FALSE)</f>
        <v>0</v>
      </c>
      <c r="N20" s="380">
        <f>VLOOKUP($A$19,TABLA_13[],5,FALSE)</f>
        <v>0</v>
      </c>
      <c r="O20" s="6"/>
      <c r="P20" s="43">
        <f>MAX(B20:N20)</f>
        <v>3780.5950109999999</v>
      </c>
    </row>
    <row r="21" spans="1:16" x14ac:dyDescent="0.25">
      <c r="A21" s="3" t="s">
        <v>7</v>
      </c>
      <c r="B21" s="380">
        <f>VLOOKUP($A$19,TABLA_1[],8,FALSE)</f>
        <v>0</v>
      </c>
      <c r="C21" s="380">
        <f>VLOOKUP($A$19,TABLA_2[],8,FALSE)</f>
        <v>0</v>
      </c>
      <c r="D21" s="380">
        <f>VLOOKUP($A$19,TABLA_3[],8,FALSE)</f>
        <v>0</v>
      </c>
      <c r="E21" s="380">
        <f>VLOOKUP($A$19,TABLA_4[],8,FALSE)</f>
        <v>0</v>
      </c>
      <c r="F21" s="380">
        <f>VLOOKUP($A$19,TABLA_5[],8,FALSE)</f>
        <v>0</v>
      </c>
      <c r="G21" s="380">
        <f>VLOOKUP($A$19,TABLA_6[],8,FALSE)</f>
        <v>1956182.7637370001</v>
      </c>
      <c r="H21" s="380">
        <f>VLOOKUP($A$19,TABLA_7[],8,FALSE)</f>
        <v>0</v>
      </c>
      <c r="I21" s="380">
        <f>VLOOKUP($A$19,TABLA_8[],8,FALSE)</f>
        <v>0</v>
      </c>
      <c r="J21" s="380">
        <f>VLOOKUP($A$19,TABLA_9[],8,FALSE)</f>
        <v>0</v>
      </c>
      <c r="K21" s="380">
        <f>VLOOKUP($A$19,TABLA_10[],8,FALSE)</f>
        <v>0</v>
      </c>
      <c r="L21" s="380">
        <f>VLOOKUP($A$19,TABLA_11[],8,FALSE)</f>
        <v>0</v>
      </c>
      <c r="M21" s="380">
        <f>VLOOKUP($A$19,TABLA_12[],8,FALSE)</f>
        <v>0</v>
      </c>
      <c r="N21" s="380">
        <f>VLOOKUP($A$19,TABLA_13[],8,FALSE)</f>
        <v>0</v>
      </c>
      <c r="O21" s="47">
        <f>SUM(B21:N21)</f>
        <v>1956182.7637370001</v>
      </c>
      <c r="P21" s="43">
        <f>SUM(B21:N21)/(COUNTIF(B21:N21,"&gt;0"))</f>
        <v>1956182.7637370001</v>
      </c>
    </row>
    <row r="22" spans="1:16" x14ac:dyDescent="0.25">
      <c r="A22" s="3" t="s">
        <v>16</v>
      </c>
      <c r="B22" s="37" t="e">
        <f>+((B20/B24)^2-(B20^2))^(0.5)</f>
        <v>#DIV/0!</v>
      </c>
      <c r="C22" s="37" t="e">
        <f>+((C20/C24)^2-(C20^2))^(0.5)</f>
        <v>#DIV/0!</v>
      </c>
      <c r="D22" s="37" t="e">
        <f t="shared" ref="D22:K22" si="3">+((D20/D24)^2-(D20^2))^(0.5)</f>
        <v>#DIV/0!</v>
      </c>
      <c r="E22" s="37" t="e">
        <f t="shared" si="3"/>
        <v>#DIV/0!</v>
      </c>
      <c r="F22" s="37" t="e">
        <f t="shared" si="3"/>
        <v>#DIV/0!</v>
      </c>
      <c r="G22" s="37">
        <f t="shared" si="3"/>
        <v>649.2355684920235</v>
      </c>
      <c r="H22" s="37" t="e">
        <f t="shared" si="3"/>
        <v>#DIV/0!</v>
      </c>
      <c r="I22" s="37" t="e">
        <f t="shared" si="3"/>
        <v>#DIV/0!</v>
      </c>
      <c r="J22" s="37" t="e">
        <f t="shared" si="3"/>
        <v>#DIV/0!</v>
      </c>
      <c r="K22" s="37" t="e">
        <f t="shared" si="3"/>
        <v>#DIV/0!</v>
      </c>
      <c r="L22" s="37" t="e">
        <f>+((L20/L24)^2-(L20^2))^(0.5)</f>
        <v>#DIV/0!</v>
      </c>
      <c r="M22" s="37" t="e">
        <f>+((M20/M24)^2-(M20^2))^(0.5)</f>
        <v>#DIV/0!</v>
      </c>
      <c r="N22" s="37" t="e">
        <f>+((N20/N24)^2-(N20^2))^(0.5)</f>
        <v>#DIV/0!</v>
      </c>
      <c r="O22" s="37"/>
      <c r="P22" s="4">
        <f>HLOOKUP(P20,B20:N22,3,FALSE)</f>
        <v>649.2355684920235</v>
      </c>
    </row>
    <row r="23" spans="1:16" x14ac:dyDescent="0.25">
      <c r="A23" s="3" t="s">
        <v>8</v>
      </c>
      <c r="B23" s="37">
        <f>+B21/(24*B$8)</f>
        <v>0</v>
      </c>
      <c r="C23" s="37">
        <f>+C21/(24*C$8)</f>
        <v>0</v>
      </c>
      <c r="D23" s="37">
        <f>+D21/(24*D$8)</f>
        <v>0</v>
      </c>
      <c r="E23" s="37">
        <f>+E21/(24*E$8)</f>
        <v>0</v>
      </c>
      <c r="F23" s="37">
        <f t="shared" ref="F23:K23" si="4">+F21/(24*F$8)</f>
        <v>0</v>
      </c>
      <c r="G23" s="37">
        <f t="shared" si="4"/>
        <v>2629.2779082486559</v>
      </c>
      <c r="H23" s="37">
        <f t="shared" si="4"/>
        <v>0</v>
      </c>
      <c r="I23" s="37">
        <f t="shared" si="4"/>
        <v>0</v>
      </c>
      <c r="J23" s="37">
        <f t="shared" si="4"/>
        <v>0</v>
      </c>
      <c r="K23" s="37">
        <f t="shared" si="4"/>
        <v>0</v>
      </c>
      <c r="L23" s="37">
        <f>+L21/(24*L$8)</f>
        <v>0</v>
      </c>
      <c r="M23" s="37">
        <f>+M21/(24*M$8)</f>
        <v>0</v>
      </c>
      <c r="N23" s="37">
        <f>+N21/(24*N$8)</f>
        <v>0</v>
      </c>
      <c r="O23" s="6">
        <f>SUM(O21)/(24*O$8)</f>
        <v>223.30853467317351</v>
      </c>
      <c r="P23" s="4">
        <f>O21/(COUNTIF(B21:N21,"&gt;0")*720)</f>
        <v>2716.9205051902777</v>
      </c>
    </row>
    <row r="24" spans="1:16" x14ac:dyDescent="0.25">
      <c r="A24" s="3" t="s">
        <v>9</v>
      </c>
      <c r="B24" s="380">
        <f>VLOOKUP($A$19,TABLA_1[],10,FALSE)</f>
        <v>0</v>
      </c>
      <c r="C24" s="380">
        <f>VLOOKUP($A$19,TABLA_2[],10,FALSE)</f>
        <v>0</v>
      </c>
      <c r="D24" s="380">
        <f>VLOOKUP($A$19,TABLA_3[],10,FALSE)</f>
        <v>0</v>
      </c>
      <c r="E24" s="380">
        <f>VLOOKUP($A$19,TABLA_4[],10,FALSE)</f>
        <v>0</v>
      </c>
      <c r="F24" s="380">
        <f>VLOOKUP($A$19,TABLA_5[],10,FALSE)</f>
        <v>0</v>
      </c>
      <c r="G24" s="380">
        <f>VLOOKUP($A$19,TABLA_6[],10,FALSE)</f>
        <v>0.98557300000000003</v>
      </c>
      <c r="H24" s="380">
        <f>VLOOKUP($A$19,TABLA_7[],10,FALSE)</f>
        <v>0</v>
      </c>
      <c r="I24" s="380">
        <f>VLOOKUP($A$19,TABLA_8[],10,FALSE)</f>
        <v>0</v>
      </c>
      <c r="J24" s="380">
        <f>VLOOKUP($A$19,TABLA_9[],10,FALSE)</f>
        <v>0</v>
      </c>
      <c r="K24" s="380">
        <f>VLOOKUP($A$19,TABLA_10[],10,FALSE)</f>
        <v>0</v>
      </c>
      <c r="L24" s="380">
        <f>VLOOKUP($A$19,TABLA_11[],10,FALSE)</f>
        <v>0</v>
      </c>
      <c r="M24" s="380">
        <f>VLOOKUP($A$19,TABLA_12[],10,FALSE)</f>
        <v>0</v>
      </c>
      <c r="N24" s="380">
        <f>VLOOKUP($A$19,TABLA_13[],10,FALSE)</f>
        <v>0</v>
      </c>
      <c r="O24" s="6"/>
      <c r="P24" s="4">
        <f>COS(ATAN(P22/P20))</f>
        <v>0.98557300000000003</v>
      </c>
    </row>
    <row r="25" spans="1:16" x14ac:dyDescent="0.25">
      <c r="A25" s="3" t="s">
        <v>17</v>
      </c>
      <c r="B25" s="37" t="e">
        <f>+B23/B20</f>
        <v>#DIV/0!</v>
      </c>
      <c r="C25" s="37" t="e">
        <f>+C23/C20</f>
        <v>#DIV/0!</v>
      </c>
      <c r="D25" s="37" t="e">
        <f t="shared" ref="D25:K25" si="5">+D23/D20</f>
        <v>#DIV/0!</v>
      </c>
      <c r="E25" s="37" t="e">
        <f t="shared" si="5"/>
        <v>#DIV/0!</v>
      </c>
      <c r="F25" s="37" t="e">
        <f t="shared" si="5"/>
        <v>#DIV/0!</v>
      </c>
      <c r="G25" s="37">
        <f t="shared" si="5"/>
        <v>0.69546669257048754</v>
      </c>
      <c r="H25" s="37" t="e">
        <f t="shared" si="5"/>
        <v>#DIV/0!</v>
      </c>
      <c r="I25" s="37" t="e">
        <f t="shared" si="5"/>
        <v>#DIV/0!</v>
      </c>
      <c r="J25" s="37" t="e">
        <f t="shared" si="5"/>
        <v>#DIV/0!</v>
      </c>
      <c r="K25" s="37" t="e">
        <f t="shared" si="5"/>
        <v>#DIV/0!</v>
      </c>
      <c r="L25" s="37" t="e">
        <f>+L23/L20</f>
        <v>#DIV/0!</v>
      </c>
      <c r="M25" s="37" t="e">
        <f>+M23/M20</f>
        <v>#DIV/0!</v>
      </c>
      <c r="N25" s="37" t="e">
        <f>+N23/N20</f>
        <v>#DIV/0!</v>
      </c>
      <c r="O25" s="6"/>
      <c r="P25" s="4">
        <f>+P23/P20</f>
        <v>0.7186489156561704</v>
      </c>
    </row>
    <row r="26" spans="1:16" s="24" customFormat="1" x14ac:dyDescent="0.25">
      <c r="A26" s="271" t="s">
        <v>213</v>
      </c>
      <c r="B26" s="65"/>
      <c r="C26" s="65"/>
      <c r="D26" s="65"/>
      <c r="E26" s="65"/>
      <c r="F26" s="65"/>
      <c r="G26" s="66"/>
      <c r="H26" s="66"/>
      <c r="I26" s="66"/>
      <c r="J26" s="66"/>
      <c r="K26" s="36"/>
      <c r="L26" s="50"/>
      <c r="M26" s="50"/>
      <c r="N26" s="50"/>
      <c r="O26" s="50"/>
      <c r="P26" s="50"/>
    </row>
    <row r="27" spans="1:16" x14ac:dyDescent="0.25">
      <c r="A27" s="3" t="s">
        <v>6</v>
      </c>
      <c r="B27" s="380">
        <f>VLOOKUP($A$26,TABLA_1[],5,FALSE)</f>
        <v>0</v>
      </c>
      <c r="C27" s="380">
        <f>VLOOKUP($A$26,TABLA_2[],5,FALSE)</f>
        <v>0</v>
      </c>
      <c r="D27" s="380">
        <f>VLOOKUP($A$26,TABLA_3[],5,FALSE)</f>
        <v>0</v>
      </c>
      <c r="E27" s="380">
        <f>VLOOKUP($A$26,TABLA_4[],5,FALSE)</f>
        <v>0</v>
      </c>
      <c r="F27" s="380">
        <f>VLOOKUP($A$26,TABLA_5[],5,FALSE)</f>
        <v>0</v>
      </c>
      <c r="G27" s="380">
        <f>VLOOKUP($A$26,TABLA_6[],5,FALSE)</f>
        <v>3623.5983070000002</v>
      </c>
      <c r="H27" s="380">
        <f>VLOOKUP($A$26,TABLA_7[],5,FALSE)</f>
        <v>0</v>
      </c>
      <c r="I27" s="380">
        <f>VLOOKUP($A$26,TABLA_8[],5,FALSE)</f>
        <v>0</v>
      </c>
      <c r="J27" s="380">
        <f>VLOOKUP($A$26,TABLA_9[],5,FALSE)</f>
        <v>0</v>
      </c>
      <c r="K27" s="380">
        <f>VLOOKUP($A$26,TABLA_10[],5,FALSE)</f>
        <v>0</v>
      </c>
      <c r="L27" s="380">
        <f>VLOOKUP($A$26,TABLA_11[],5,FALSE)</f>
        <v>0</v>
      </c>
      <c r="M27" s="380">
        <f>VLOOKUP($A$26,TABLA_12[],5,FALSE)</f>
        <v>0</v>
      </c>
      <c r="N27" s="380">
        <f>VLOOKUP($A$26,TABLA_13[],5,FALSE)</f>
        <v>0</v>
      </c>
      <c r="O27" s="6"/>
      <c r="P27" s="43">
        <f>MAX(B27:N27)</f>
        <v>3623.5983070000002</v>
      </c>
    </row>
    <row r="28" spans="1:16" x14ac:dyDescent="0.25">
      <c r="A28" s="3" t="s">
        <v>7</v>
      </c>
      <c r="B28" s="380">
        <f>VLOOKUP($A$26,TABLA_1[],8,FALSE)</f>
        <v>0</v>
      </c>
      <c r="C28" s="380">
        <f>VLOOKUP($A$26,TABLA_2[],8,FALSE)</f>
        <v>0</v>
      </c>
      <c r="D28" s="380">
        <f>VLOOKUP($A$26,TABLA_3[],8,FALSE)</f>
        <v>0</v>
      </c>
      <c r="E28" s="380">
        <f>VLOOKUP($A$26,TABLA_4[],8,FALSE)</f>
        <v>0</v>
      </c>
      <c r="F28" s="380">
        <f>VLOOKUP($A$26,TABLA_5[],8,FALSE)</f>
        <v>0</v>
      </c>
      <c r="G28" s="380">
        <f>VLOOKUP($A$26,TABLA_6[],8,FALSE)</f>
        <v>1706370.733463</v>
      </c>
      <c r="H28" s="380">
        <f>VLOOKUP($A$26,TABLA_7[],8,FALSE)</f>
        <v>0</v>
      </c>
      <c r="I28" s="380">
        <f>VLOOKUP($A$26,TABLA_8[],8,FALSE)</f>
        <v>0</v>
      </c>
      <c r="J28" s="380">
        <f>VLOOKUP($A$26,TABLA_9[],8,FALSE)</f>
        <v>0</v>
      </c>
      <c r="K28" s="380">
        <f>VLOOKUP($A$26,TABLA_10[],8,FALSE)</f>
        <v>0</v>
      </c>
      <c r="L28" s="380">
        <f>VLOOKUP($A$26,TABLA_11[],8,FALSE)</f>
        <v>0</v>
      </c>
      <c r="M28" s="380">
        <f>VLOOKUP($A$26,TABLA_12[],8,FALSE)</f>
        <v>0</v>
      </c>
      <c r="N28" s="380">
        <f>VLOOKUP($A$26,TABLA_13[],8,FALSE)</f>
        <v>0</v>
      </c>
      <c r="O28" s="47">
        <f>SUM(B28:N28)</f>
        <v>1706370.733463</v>
      </c>
      <c r="P28" s="43">
        <f>SUM(B28:N28)/(COUNTIF(B28:N28,"&gt;0"))</f>
        <v>1706370.733463</v>
      </c>
    </row>
    <row r="29" spans="1:16" x14ac:dyDescent="0.25">
      <c r="A29" s="3" t="s">
        <v>16</v>
      </c>
      <c r="B29" s="37" t="e">
        <f t="shared" ref="B29:G29" si="6">+((B27/B31)^2-(B27^2))^(0.5)</f>
        <v>#DIV/0!</v>
      </c>
      <c r="C29" s="37" t="e">
        <f t="shared" si="6"/>
        <v>#DIV/0!</v>
      </c>
      <c r="D29" s="37" t="e">
        <f t="shared" si="6"/>
        <v>#DIV/0!</v>
      </c>
      <c r="E29" s="37" t="e">
        <f t="shared" si="6"/>
        <v>#DIV/0!</v>
      </c>
      <c r="F29" s="37" t="e">
        <f t="shared" si="6"/>
        <v>#DIV/0!</v>
      </c>
      <c r="G29" s="37">
        <f t="shared" si="6"/>
        <v>613.64606996892871</v>
      </c>
      <c r="H29" s="37" t="e">
        <f t="shared" ref="H29:N29" si="7">+((H27/H31)^2-(H27^2))^(0.5)</f>
        <v>#DIV/0!</v>
      </c>
      <c r="I29" s="37" t="e">
        <f t="shared" si="7"/>
        <v>#DIV/0!</v>
      </c>
      <c r="J29" s="37" t="e">
        <f t="shared" si="7"/>
        <v>#DIV/0!</v>
      </c>
      <c r="K29" s="37" t="e">
        <f t="shared" si="7"/>
        <v>#DIV/0!</v>
      </c>
      <c r="L29" s="37" t="e">
        <f t="shared" si="7"/>
        <v>#DIV/0!</v>
      </c>
      <c r="M29" s="37" t="e">
        <f t="shared" si="7"/>
        <v>#DIV/0!</v>
      </c>
      <c r="N29" s="37" t="e">
        <f t="shared" si="7"/>
        <v>#DIV/0!</v>
      </c>
      <c r="O29" s="37"/>
      <c r="P29" s="4">
        <f>HLOOKUP(P27,B27:N29,3,FALSE)</f>
        <v>613.64606996892871</v>
      </c>
    </row>
    <row r="30" spans="1:16" x14ac:dyDescent="0.25">
      <c r="A30" s="3" t="s">
        <v>8</v>
      </c>
      <c r="B30" s="37">
        <f t="shared" ref="B30:G30" si="8">+B28/(24*B$8)</f>
        <v>0</v>
      </c>
      <c r="C30" s="37">
        <f t="shared" si="8"/>
        <v>0</v>
      </c>
      <c r="D30" s="37">
        <f t="shared" si="8"/>
        <v>0</v>
      </c>
      <c r="E30" s="37">
        <f t="shared" si="8"/>
        <v>0</v>
      </c>
      <c r="F30" s="37">
        <f t="shared" si="8"/>
        <v>0</v>
      </c>
      <c r="G30" s="37">
        <f t="shared" si="8"/>
        <v>2293.5090503534948</v>
      </c>
      <c r="H30" s="37">
        <f t="shared" ref="H30:N30" si="9">+H28/(24*H$8)</f>
        <v>0</v>
      </c>
      <c r="I30" s="37">
        <f t="shared" si="9"/>
        <v>0</v>
      </c>
      <c r="J30" s="37">
        <f t="shared" si="9"/>
        <v>0</v>
      </c>
      <c r="K30" s="37">
        <f t="shared" si="9"/>
        <v>0</v>
      </c>
      <c r="L30" s="37">
        <f t="shared" si="9"/>
        <v>0</v>
      </c>
      <c r="M30" s="37">
        <f t="shared" si="9"/>
        <v>0</v>
      </c>
      <c r="N30" s="37">
        <f t="shared" si="9"/>
        <v>0</v>
      </c>
      <c r="O30" s="6">
        <f>SUM(O28)/(24*O$8)</f>
        <v>194.79117961906394</v>
      </c>
      <c r="P30" s="4">
        <f>O28/(COUNTIF(B28:N28,"&gt;0")*720)</f>
        <v>2369.9593520319445</v>
      </c>
    </row>
    <row r="31" spans="1:16" x14ac:dyDescent="0.25">
      <c r="A31" s="3" t="s">
        <v>9</v>
      </c>
      <c r="B31" s="380">
        <f>VLOOKUP($A$26,TABLA_1[],10,FALSE)</f>
        <v>0</v>
      </c>
      <c r="C31" s="380">
        <f>VLOOKUP($A$26,TABLA_2[],10,FALSE)</f>
        <v>0</v>
      </c>
      <c r="D31" s="380">
        <f>VLOOKUP($A$26,TABLA_3[],10,FALSE)</f>
        <v>0</v>
      </c>
      <c r="E31" s="380">
        <f>VLOOKUP($A$26,TABLA_4[],10,FALSE)</f>
        <v>0</v>
      </c>
      <c r="F31" s="380">
        <f>VLOOKUP($A$26,TABLA_5[],10,FALSE)</f>
        <v>0</v>
      </c>
      <c r="G31" s="380">
        <f>VLOOKUP($A$26,TABLA_6[],10,FALSE)</f>
        <v>0.98596200000000001</v>
      </c>
      <c r="H31" s="380">
        <f>VLOOKUP($A$26,TABLA_7[],10,FALSE)</f>
        <v>0</v>
      </c>
      <c r="I31" s="380">
        <f>VLOOKUP($A$26,TABLA_8[],10,FALSE)</f>
        <v>0</v>
      </c>
      <c r="J31" s="380">
        <f>VLOOKUP($A$26,TABLA_9[],10,FALSE)</f>
        <v>0</v>
      </c>
      <c r="K31" s="380">
        <f>VLOOKUP($A$26,TABLA_10[],10,FALSE)</f>
        <v>0</v>
      </c>
      <c r="L31" s="380">
        <f>VLOOKUP($A$26,TABLA_11[],10,FALSE)</f>
        <v>0</v>
      </c>
      <c r="M31" s="380">
        <f>VLOOKUP($A$26,TABLA_12[],10,FALSE)</f>
        <v>0</v>
      </c>
      <c r="N31" s="380">
        <f>VLOOKUP($A$26,TABLA_13[],10,FALSE)</f>
        <v>0</v>
      </c>
      <c r="O31" s="6"/>
      <c r="P31" s="4">
        <f>COS(ATAN(P29/P27))</f>
        <v>0.98596200000000001</v>
      </c>
    </row>
    <row r="32" spans="1:16" x14ac:dyDescent="0.25">
      <c r="A32" s="3" t="s">
        <v>17</v>
      </c>
      <c r="B32" s="37" t="e">
        <f t="shared" ref="B32:G32" si="10">+B30/B27</f>
        <v>#DIV/0!</v>
      </c>
      <c r="C32" s="37" t="e">
        <f t="shared" si="10"/>
        <v>#DIV/0!</v>
      </c>
      <c r="D32" s="37" t="e">
        <f t="shared" si="10"/>
        <v>#DIV/0!</v>
      </c>
      <c r="E32" s="37" t="e">
        <f t="shared" si="10"/>
        <v>#DIV/0!</v>
      </c>
      <c r="F32" s="37" t="e">
        <f t="shared" si="10"/>
        <v>#DIV/0!</v>
      </c>
      <c r="G32" s="37">
        <f t="shared" si="10"/>
        <v>0.63293689201778691</v>
      </c>
      <c r="H32" s="37" t="e">
        <f t="shared" ref="H32:N32" si="11">+H30/H27</f>
        <v>#DIV/0!</v>
      </c>
      <c r="I32" s="37" t="e">
        <f t="shared" si="11"/>
        <v>#DIV/0!</v>
      </c>
      <c r="J32" s="37" t="e">
        <f t="shared" si="11"/>
        <v>#DIV/0!</v>
      </c>
      <c r="K32" s="37" t="e">
        <f t="shared" si="11"/>
        <v>#DIV/0!</v>
      </c>
      <c r="L32" s="37" t="e">
        <f t="shared" si="11"/>
        <v>#DIV/0!</v>
      </c>
      <c r="M32" s="37" t="e">
        <f t="shared" si="11"/>
        <v>#DIV/0!</v>
      </c>
      <c r="N32" s="37" t="e">
        <f t="shared" si="11"/>
        <v>#DIV/0!</v>
      </c>
      <c r="O32" s="6"/>
      <c r="P32" s="4">
        <f>+P30/P27</f>
        <v>0.65403478841837981</v>
      </c>
    </row>
    <row r="33" spans="1:18" s="24" customFormat="1" x14ac:dyDescent="0.25">
      <c r="A33" s="271" t="s">
        <v>214</v>
      </c>
      <c r="B33" s="65"/>
      <c r="C33" s="65"/>
      <c r="D33" s="65"/>
      <c r="E33" s="65"/>
      <c r="F33" s="65"/>
      <c r="G33" s="66"/>
      <c r="H33" s="66"/>
      <c r="I33" s="66"/>
      <c r="J33" s="66"/>
      <c r="K33" s="36"/>
      <c r="L33" s="50"/>
      <c r="M33" s="50"/>
      <c r="N33" s="50"/>
      <c r="O33" s="50"/>
      <c r="P33" s="50"/>
    </row>
    <row r="34" spans="1:18" x14ac:dyDescent="0.25">
      <c r="A34" s="3" t="s">
        <v>6</v>
      </c>
      <c r="B34" s="380">
        <f>VLOOKUP($A$33,TABLA_1[],5,FALSE)</f>
        <v>0</v>
      </c>
      <c r="C34" s="380">
        <f>VLOOKUP($A$33,TABLA_2[],5,FALSE)</f>
        <v>0</v>
      </c>
      <c r="D34" s="380">
        <f>VLOOKUP($A$33,TABLA_3[],5,FALSE)</f>
        <v>0</v>
      </c>
      <c r="E34" s="380">
        <f>VLOOKUP($A$33,TABLA_4[],5,FALSE)</f>
        <v>0</v>
      </c>
      <c r="F34" s="380">
        <f>VLOOKUP($A$33,TABLA_5[],5,FALSE)</f>
        <v>0</v>
      </c>
      <c r="G34" s="380">
        <f>VLOOKUP($A$33,TABLA_6[],5,FALSE)</f>
        <v>2015.1033319999999</v>
      </c>
      <c r="H34" s="380">
        <f>VLOOKUP($A$33,TABLA_7[],5,FALSE)</f>
        <v>0</v>
      </c>
      <c r="I34" s="380">
        <f>VLOOKUP($A$33,TABLA_8[],5,FALSE)</f>
        <v>0</v>
      </c>
      <c r="J34" s="380">
        <f>VLOOKUP($A$33,TABLA_9[],5,FALSE)</f>
        <v>0</v>
      </c>
      <c r="K34" s="380">
        <f>VLOOKUP($A$33,TABLA_10[],5,FALSE)</f>
        <v>0</v>
      </c>
      <c r="L34" s="380">
        <f>VLOOKUP($A$33,TABLA_11[],5,FALSE)</f>
        <v>0</v>
      </c>
      <c r="M34" s="380">
        <f>VLOOKUP($A$33,TABLA_12[],5,FALSE)</f>
        <v>0</v>
      </c>
      <c r="N34" s="380">
        <f>VLOOKUP($A$33,TABLA_13[],5,FALSE)</f>
        <v>0</v>
      </c>
      <c r="O34" s="6"/>
      <c r="P34" s="43">
        <f>MAX(B34:N34)</f>
        <v>2015.1033319999999</v>
      </c>
    </row>
    <row r="35" spans="1:18" x14ac:dyDescent="0.25">
      <c r="A35" s="3" t="s">
        <v>7</v>
      </c>
      <c r="B35" s="380">
        <f>VLOOKUP($A$33,TABLA_1[],8,FALSE)</f>
        <v>0</v>
      </c>
      <c r="C35" s="380">
        <f>VLOOKUP($A$33,TABLA_2[],8,FALSE)</f>
        <v>0</v>
      </c>
      <c r="D35" s="380">
        <f>VLOOKUP($A$33,TABLA_3[],8,FALSE)</f>
        <v>0</v>
      </c>
      <c r="E35" s="380">
        <f>VLOOKUP($A$33,TABLA_4[],8,FALSE)</f>
        <v>0</v>
      </c>
      <c r="F35" s="380">
        <f>VLOOKUP($A$33,TABLA_5[],8,FALSE)</f>
        <v>0</v>
      </c>
      <c r="G35" s="380">
        <f>VLOOKUP($A$33,TABLA_6[],8,FALSE)</f>
        <v>1041034.940166</v>
      </c>
      <c r="H35" s="380">
        <f>VLOOKUP($A$33,TABLA_7[],8,FALSE)</f>
        <v>0</v>
      </c>
      <c r="I35" s="380">
        <f>VLOOKUP($A$33,TABLA_8[],8,FALSE)</f>
        <v>0</v>
      </c>
      <c r="J35" s="380">
        <f>VLOOKUP($A$33,TABLA_9[],8,FALSE)</f>
        <v>0</v>
      </c>
      <c r="K35" s="380">
        <f>VLOOKUP($A$33,TABLA_10[],8,FALSE)</f>
        <v>0</v>
      </c>
      <c r="L35" s="380">
        <f>VLOOKUP($A$33,TABLA_11[],8,FALSE)</f>
        <v>0</v>
      </c>
      <c r="M35" s="380">
        <f>VLOOKUP($A$33,TABLA_12[],8,FALSE)</f>
        <v>0</v>
      </c>
      <c r="N35" s="380">
        <f>VLOOKUP($A$33,TABLA_13[],8,FALSE)</f>
        <v>0</v>
      </c>
      <c r="O35" s="47">
        <f>SUM(B35:N35)</f>
        <v>1041034.940166</v>
      </c>
      <c r="P35" s="43">
        <f>SUM(B35:N35)/(COUNTIF(B35:N35,"&gt;0"))</f>
        <v>1041034.940166</v>
      </c>
    </row>
    <row r="36" spans="1:18" x14ac:dyDescent="0.25">
      <c r="A36" s="3" t="s">
        <v>16</v>
      </c>
      <c r="B36" s="37" t="e">
        <f>+((B34/B38)^2-(B34^2))^(0.5)</f>
        <v>#DIV/0!</v>
      </c>
      <c r="C36" s="37" t="e">
        <f>+((C34/C38)^2-(C34^2))^(0.5)</f>
        <v>#DIV/0!</v>
      </c>
      <c r="D36" s="37" t="e">
        <f t="shared" ref="D36:J36" si="12">+((D34/D38)^2-(D34^2))^(0.5)</f>
        <v>#DIV/0!</v>
      </c>
      <c r="E36" s="37" t="e">
        <f t="shared" si="12"/>
        <v>#DIV/0!</v>
      </c>
      <c r="F36" s="37" t="e">
        <f t="shared" si="12"/>
        <v>#DIV/0!</v>
      </c>
      <c r="G36" s="37">
        <f t="shared" si="12"/>
        <v>268.55473052914448</v>
      </c>
      <c r="H36" s="37" t="e">
        <f t="shared" si="12"/>
        <v>#DIV/0!</v>
      </c>
      <c r="I36" s="37" t="e">
        <f t="shared" si="12"/>
        <v>#DIV/0!</v>
      </c>
      <c r="J36" s="37" t="e">
        <f t="shared" si="12"/>
        <v>#DIV/0!</v>
      </c>
      <c r="K36" s="37" t="e">
        <f>+((K34/K38)^2-(K34^2))^(0.5)</f>
        <v>#DIV/0!</v>
      </c>
      <c r="L36" s="37" t="e">
        <f>+((L34/L38)^2-(L34^2))^(0.5)</f>
        <v>#DIV/0!</v>
      </c>
      <c r="M36" s="37" t="e">
        <f>+((M34/M38)^2-(M34^2))^(0.5)</f>
        <v>#DIV/0!</v>
      </c>
      <c r="N36" s="37" t="e">
        <f>+((N34/N38)^2-(N34^2))^(0.5)</f>
        <v>#DIV/0!</v>
      </c>
      <c r="O36" s="37"/>
      <c r="P36" s="4">
        <f>HLOOKUP(P34,B34:N36,3,FALSE)</f>
        <v>268.55473052914448</v>
      </c>
    </row>
    <row r="37" spans="1:18" x14ac:dyDescent="0.25">
      <c r="A37" s="3" t="s">
        <v>8</v>
      </c>
      <c r="B37" s="37">
        <f t="shared" ref="B37" si="13">+B35/(24*B$8)</f>
        <v>0</v>
      </c>
      <c r="C37" s="37">
        <f t="shared" ref="C37:H37" si="14">+C35/(24*C$8)</f>
        <v>0</v>
      </c>
      <c r="D37" s="37">
        <f t="shared" si="14"/>
        <v>0</v>
      </c>
      <c r="E37" s="37">
        <f t="shared" si="14"/>
        <v>0</v>
      </c>
      <c r="F37" s="37">
        <f t="shared" si="14"/>
        <v>0</v>
      </c>
      <c r="G37" s="37">
        <f t="shared" si="14"/>
        <v>1399.2405109758065</v>
      </c>
      <c r="H37" s="37">
        <f t="shared" si="14"/>
        <v>0</v>
      </c>
      <c r="I37" s="37">
        <f t="shared" ref="I37:N37" si="15">+I35/(24*I$8)</f>
        <v>0</v>
      </c>
      <c r="J37" s="37">
        <f t="shared" si="15"/>
        <v>0</v>
      </c>
      <c r="K37" s="37">
        <f t="shared" si="15"/>
        <v>0</v>
      </c>
      <c r="L37" s="37">
        <f t="shared" si="15"/>
        <v>0</v>
      </c>
      <c r="M37" s="37">
        <f t="shared" si="15"/>
        <v>0</v>
      </c>
      <c r="N37" s="37">
        <f t="shared" si="15"/>
        <v>0</v>
      </c>
      <c r="O37" s="6">
        <f>SUM(O35)/(24*O$8)</f>
        <v>118.83960504178083</v>
      </c>
      <c r="P37" s="4">
        <f>O35/(COUNTIF(B35:N35,"&gt;0")*720)</f>
        <v>1445.8818613416668</v>
      </c>
    </row>
    <row r="38" spans="1:18" x14ac:dyDescent="0.25">
      <c r="A38" s="3" t="s">
        <v>9</v>
      </c>
      <c r="B38" s="380">
        <f>VLOOKUP($A$33,TABLA_1[],10,FALSE)</f>
        <v>0</v>
      </c>
      <c r="C38" s="380">
        <f>VLOOKUP($A$33,TABLA_2[],10,FALSE)</f>
        <v>0</v>
      </c>
      <c r="D38" s="380">
        <f>VLOOKUP($A$33,TABLA_3[],10,FALSE)</f>
        <v>0</v>
      </c>
      <c r="E38" s="380">
        <f>VLOOKUP($A$33,TABLA_4[],10,FALSE)</f>
        <v>0</v>
      </c>
      <c r="F38" s="380">
        <f>VLOOKUP($A$33,TABLA_5[],10,FALSE)</f>
        <v>0</v>
      </c>
      <c r="G38" s="380">
        <f>VLOOKUP($A$33,TABLA_6[],10,FALSE)</f>
        <v>0.99123600000000001</v>
      </c>
      <c r="H38" s="380">
        <f>VLOOKUP($A$33,TABLA_7[],10,FALSE)</f>
        <v>0</v>
      </c>
      <c r="I38" s="380">
        <f>VLOOKUP($A$33,TABLA_8[],10,FALSE)</f>
        <v>0</v>
      </c>
      <c r="J38" s="380">
        <f>VLOOKUP($A$33,TABLA_9[],10,FALSE)</f>
        <v>0</v>
      </c>
      <c r="K38" s="380">
        <f>VLOOKUP($A$33,TABLA_10[],10,FALSE)</f>
        <v>0</v>
      </c>
      <c r="L38" s="380">
        <f>VLOOKUP($A$33,TABLA_11[],10,FALSE)</f>
        <v>0</v>
      </c>
      <c r="M38" s="380">
        <f>VLOOKUP($A$33,TABLA_12[],10,FALSE)</f>
        <v>0</v>
      </c>
      <c r="N38" s="380">
        <f>VLOOKUP($A$33,TABLA_13[],10,FALSE)</f>
        <v>0</v>
      </c>
      <c r="O38" s="6"/>
      <c r="P38" s="4">
        <f>COS(ATAN(P36/P34))</f>
        <v>0.99123600000000001</v>
      </c>
    </row>
    <row r="39" spans="1:18" x14ac:dyDescent="0.25">
      <c r="A39" s="3" t="s">
        <v>17</v>
      </c>
      <c r="B39" s="37" t="e">
        <f t="shared" ref="B39:M39" si="16">+B37/B34</f>
        <v>#DIV/0!</v>
      </c>
      <c r="C39" s="37" t="e">
        <f t="shared" si="16"/>
        <v>#DIV/0!</v>
      </c>
      <c r="D39" s="37" t="e">
        <f t="shared" si="16"/>
        <v>#DIV/0!</v>
      </c>
      <c r="E39" s="37" t="e">
        <f t="shared" si="16"/>
        <v>#DIV/0!</v>
      </c>
      <c r="F39" s="37" t="e">
        <f t="shared" si="16"/>
        <v>#DIV/0!</v>
      </c>
      <c r="G39" s="37">
        <f t="shared" si="16"/>
        <v>0.69437655566131862</v>
      </c>
      <c r="H39" s="37" t="e">
        <f t="shared" si="16"/>
        <v>#DIV/0!</v>
      </c>
      <c r="I39" s="37" t="e">
        <f t="shared" si="16"/>
        <v>#DIV/0!</v>
      </c>
      <c r="J39" s="37" t="e">
        <f t="shared" si="16"/>
        <v>#DIV/0!</v>
      </c>
      <c r="K39" s="37" t="e">
        <f t="shared" si="16"/>
        <v>#DIV/0!</v>
      </c>
      <c r="L39" s="37" t="e">
        <f t="shared" si="16"/>
        <v>#DIV/0!</v>
      </c>
      <c r="M39" s="37" t="e">
        <f t="shared" si="16"/>
        <v>#DIV/0!</v>
      </c>
      <c r="N39" s="37" t="e">
        <f>+N37/N34</f>
        <v>#DIV/0!</v>
      </c>
      <c r="O39" s="6"/>
      <c r="P39" s="4">
        <f>+P37/P34</f>
        <v>0.71752244085002925</v>
      </c>
    </row>
    <row r="40" spans="1:18" x14ac:dyDescent="0.25">
      <c r="A40" s="30"/>
      <c r="B40" s="174"/>
      <c r="C40" s="174"/>
      <c r="D40" s="174"/>
      <c r="E40" s="174"/>
      <c r="F40" s="174"/>
      <c r="G40" s="51"/>
      <c r="H40" s="51"/>
      <c r="I40" s="51"/>
      <c r="J40" s="51"/>
      <c r="K40" s="51"/>
      <c r="L40" s="51"/>
      <c r="M40" s="51"/>
      <c r="N40" s="51"/>
      <c r="O40" s="51"/>
      <c r="P40" s="30"/>
    </row>
    <row r="41" spans="1:18" x14ac:dyDescent="0.25">
      <c r="A41" s="31"/>
      <c r="B41" s="175"/>
      <c r="C41" s="175"/>
      <c r="D41" s="175"/>
      <c r="E41" s="175"/>
      <c r="F41" s="175"/>
      <c r="G41" s="52"/>
      <c r="H41" s="52"/>
      <c r="I41" s="52"/>
      <c r="J41" s="52"/>
      <c r="K41" s="52"/>
      <c r="L41" s="52"/>
      <c r="M41" s="52"/>
      <c r="N41" s="52"/>
      <c r="O41" s="52"/>
      <c r="P41" s="31"/>
    </row>
    <row r="42" spans="1:18" x14ac:dyDescent="0.25">
      <c r="A42" s="7" t="s">
        <v>10</v>
      </c>
      <c r="B42" s="72"/>
      <c r="C42" s="72"/>
      <c r="D42" s="72"/>
      <c r="E42" s="72"/>
      <c r="F42" s="72"/>
      <c r="G42" s="73"/>
      <c r="H42" s="73"/>
      <c r="I42" s="73"/>
      <c r="J42" s="73"/>
      <c r="K42" s="73"/>
      <c r="L42" s="53"/>
      <c r="M42" s="53"/>
      <c r="N42" s="53"/>
      <c r="O42" s="53"/>
      <c r="P42" s="8"/>
    </row>
    <row r="43" spans="1:18" x14ac:dyDescent="0.25">
      <c r="A43" s="9" t="s">
        <v>11</v>
      </c>
      <c r="B43" s="62">
        <f>+B13+B20+B27+B34</f>
        <v>0</v>
      </c>
      <c r="C43" s="62">
        <f>+C13+C20+C27+C34</f>
        <v>0</v>
      </c>
      <c r="D43" s="62">
        <f t="shared" ref="D43:N44" si="17">+D13+D20+D27+D34</f>
        <v>0</v>
      </c>
      <c r="E43" s="62">
        <f t="shared" si="17"/>
        <v>0</v>
      </c>
      <c r="F43" s="62">
        <f t="shared" si="17"/>
        <v>0</v>
      </c>
      <c r="G43" s="62">
        <f t="shared" si="17"/>
        <v>12836.559996000002</v>
      </c>
      <c r="H43" s="62">
        <f t="shared" si="17"/>
        <v>0</v>
      </c>
      <c r="I43" s="62">
        <f t="shared" si="17"/>
        <v>0</v>
      </c>
      <c r="J43" s="62">
        <f t="shared" si="17"/>
        <v>0</v>
      </c>
      <c r="K43" s="62">
        <f t="shared" si="17"/>
        <v>0</v>
      </c>
      <c r="L43" s="62">
        <f t="shared" si="17"/>
        <v>0</v>
      </c>
      <c r="M43" s="62">
        <f t="shared" si="17"/>
        <v>0</v>
      </c>
      <c r="N43" s="62">
        <f t="shared" si="17"/>
        <v>0</v>
      </c>
      <c r="O43" s="54"/>
      <c r="P43" s="42">
        <f>MAX(B43:N43)</f>
        <v>12836.559996000002</v>
      </c>
    </row>
    <row r="44" spans="1:18" x14ac:dyDescent="0.25">
      <c r="A44" s="9" t="s">
        <v>7</v>
      </c>
      <c r="B44" s="62">
        <f>+B14+B21+B28+B35</f>
        <v>0</v>
      </c>
      <c r="C44" s="62">
        <f>+C14+C21+C28+C35</f>
        <v>0</v>
      </c>
      <c r="D44" s="62">
        <f t="shared" si="17"/>
        <v>0</v>
      </c>
      <c r="E44" s="62">
        <f t="shared" si="17"/>
        <v>0</v>
      </c>
      <c r="F44" s="62">
        <f t="shared" si="17"/>
        <v>0</v>
      </c>
      <c r="G44" s="62">
        <f t="shared" si="17"/>
        <v>6349400.6547870003</v>
      </c>
      <c r="H44" s="62">
        <f t="shared" si="17"/>
        <v>0</v>
      </c>
      <c r="I44" s="62">
        <f t="shared" si="17"/>
        <v>0</v>
      </c>
      <c r="J44" s="62">
        <f t="shared" si="17"/>
        <v>0</v>
      </c>
      <c r="K44" s="62">
        <f t="shared" si="17"/>
        <v>0</v>
      </c>
      <c r="L44" s="62">
        <f t="shared" si="17"/>
        <v>0</v>
      </c>
      <c r="M44" s="62">
        <f t="shared" si="17"/>
        <v>0</v>
      </c>
      <c r="N44" s="62">
        <f t="shared" si="17"/>
        <v>0</v>
      </c>
      <c r="O44" s="62">
        <f>SUM(B44:N44)</f>
        <v>6349400.6547870003</v>
      </c>
      <c r="P44" s="42"/>
    </row>
    <row r="45" spans="1:18" s="24" customFormat="1" x14ac:dyDescent="0.25">
      <c r="A45" s="272" t="s">
        <v>12</v>
      </c>
      <c r="B45" s="376" t="s">
        <v>475</v>
      </c>
      <c r="C45" s="246"/>
      <c r="D45" s="246"/>
      <c r="E45" s="246"/>
      <c r="F45" s="246"/>
      <c r="G45" s="247"/>
      <c r="H45" s="247"/>
      <c r="I45" s="247"/>
      <c r="J45" s="247"/>
      <c r="K45" s="36"/>
      <c r="L45" s="36"/>
      <c r="M45" s="36"/>
      <c r="N45" s="36"/>
      <c r="O45" s="47"/>
      <c r="P45" s="47"/>
    </row>
    <row r="46" spans="1:18" x14ac:dyDescent="0.25">
      <c r="A46" s="3" t="s">
        <v>6</v>
      </c>
      <c r="B46" s="380">
        <f>VLOOKUP($B$45,BancoTabla_1[],5,FALSE)</f>
        <v>0</v>
      </c>
      <c r="C46" s="380">
        <f>VLOOKUP($B$45,BancoTabla_2[],5,FALSE)</f>
        <v>0</v>
      </c>
      <c r="D46" s="380">
        <f>VLOOKUP($B$45,BancoTabla_3[],5,FALSE)</f>
        <v>0</v>
      </c>
      <c r="E46" s="380">
        <f>VLOOKUP($B$45,BancoTabla_4[],5,FALSE)</f>
        <v>0</v>
      </c>
      <c r="F46" s="380">
        <f>VLOOKUP($B$45,BancoTabla_5[],5,FALSE)</f>
        <v>0</v>
      </c>
      <c r="G46" s="380">
        <f>VLOOKUP($B$45,BancoTabla_6[],5,FALSE)</f>
        <v>12387.799967000001</v>
      </c>
      <c r="H46" s="380">
        <f>VLOOKUP($B$45,BancoTabla_7[],5,FALSE)</f>
        <v>0</v>
      </c>
      <c r="I46" s="380">
        <f>VLOOKUP($B$45,BancoTabla_8[],5,FALSE)</f>
        <v>0</v>
      </c>
      <c r="J46" s="380">
        <f>VLOOKUP($B$45,BancoTabla_9[],5,FALSE)</f>
        <v>0</v>
      </c>
      <c r="K46" s="380">
        <f>VLOOKUP($B$45,BancoTabla_10[],5,FALSE)</f>
        <v>0</v>
      </c>
      <c r="L46" s="380">
        <f>VLOOKUP($B$45,BancoTabla_11[],5,FALSE)</f>
        <v>0</v>
      </c>
      <c r="M46" s="380">
        <f>VLOOKUP($B$45,BancoTabla_12[],5,FALSE)</f>
        <v>0</v>
      </c>
      <c r="N46" s="380">
        <f>VLOOKUP($B$45,BancoTabla_13[],5,FALSE)</f>
        <v>0</v>
      </c>
      <c r="O46" s="79"/>
      <c r="P46" s="43">
        <f>MAX(B46:N46)</f>
        <v>12387.799967000001</v>
      </c>
      <c r="Q46" s="334">
        <f>P46/1000</f>
        <v>12.387799967000001</v>
      </c>
    </row>
    <row r="47" spans="1:18" x14ac:dyDescent="0.25">
      <c r="A47" s="3" t="s">
        <v>7</v>
      </c>
      <c r="B47" s="380">
        <f>VLOOKUP($B$45,BancoTabla_1[],8,FALSE)</f>
        <v>0</v>
      </c>
      <c r="C47" s="380">
        <f>VLOOKUP($B$45,BancoTabla_2[],8,FALSE)</f>
        <v>0</v>
      </c>
      <c r="D47" s="380">
        <f>VLOOKUP($B$45,BancoTabla_3[],8,FALSE)</f>
        <v>0</v>
      </c>
      <c r="E47" s="380">
        <f>VLOOKUP($B$45,BancoTabla_4[],8,FALSE)</f>
        <v>0</v>
      </c>
      <c r="F47" s="380">
        <f>VLOOKUP($B$45,BancoTabla_5[],8,FALSE)</f>
        <v>0</v>
      </c>
      <c r="G47" s="380">
        <f>VLOOKUP($B$45,BancoTabla_6[],8,FALSE)</f>
        <v>6359122.0641799998</v>
      </c>
      <c r="H47" s="380">
        <f>VLOOKUP($B$45,BancoTabla_7[],8,FALSE)</f>
        <v>0</v>
      </c>
      <c r="I47" s="380">
        <f>VLOOKUP($B$45,BancoTabla_8[],8,FALSE)</f>
        <v>0</v>
      </c>
      <c r="J47" s="380">
        <f>VLOOKUP($B$45,BancoTabla_9[],8,FALSE)</f>
        <v>0</v>
      </c>
      <c r="K47" s="380">
        <f>VLOOKUP($B$45,BancoTabla_10[],8,FALSE)</f>
        <v>0</v>
      </c>
      <c r="L47" s="380">
        <f>VLOOKUP($B$45,BancoTabla_11[],8,FALSE)</f>
        <v>0</v>
      </c>
      <c r="M47" s="380">
        <f>VLOOKUP($B$45,BancoTabla_12[],8,FALSE)</f>
        <v>0</v>
      </c>
      <c r="N47" s="380">
        <f>VLOOKUP($B$45,BancoTabla_13[],8,FALSE)</f>
        <v>0</v>
      </c>
      <c r="O47" s="47">
        <f>SUM(B47:N47)</f>
        <v>6359122.0641799998</v>
      </c>
      <c r="P47" s="4">
        <f>SUM(B47:N47)/(COUNTIF(B47:N47,"&gt;0"))</f>
        <v>6359122.0641799998</v>
      </c>
      <c r="R47" s="39"/>
    </row>
    <row r="48" spans="1:18" x14ac:dyDescent="0.25">
      <c r="A48" s="3" t="s">
        <v>16</v>
      </c>
      <c r="B48" s="37" t="e">
        <f>+((B46/B50)^2-(B46^2))^(0.5)</f>
        <v>#DIV/0!</v>
      </c>
      <c r="C48" s="37" t="e">
        <f>+((C46/C50)^2-(C46^2))^(0.5)</f>
        <v>#DIV/0!</v>
      </c>
      <c r="D48" s="37" t="e">
        <f t="shared" ref="D48:K48" si="18">+((D46/D50)^2-(D46^2))^(0.5)</f>
        <v>#DIV/0!</v>
      </c>
      <c r="E48" s="37" t="e">
        <f t="shared" si="18"/>
        <v>#DIV/0!</v>
      </c>
      <c r="F48" s="37" t="e">
        <f t="shared" si="18"/>
        <v>#DIV/0!</v>
      </c>
      <c r="G48" s="37">
        <f t="shared" si="18"/>
        <v>1904.1215387280783</v>
      </c>
      <c r="H48" s="37" t="e">
        <f t="shared" si="18"/>
        <v>#DIV/0!</v>
      </c>
      <c r="I48" s="37" t="e">
        <f t="shared" si="18"/>
        <v>#DIV/0!</v>
      </c>
      <c r="J48" s="37" t="e">
        <f t="shared" si="18"/>
        <v>#DIV/0!</v>
      </c>
      <c r="K48" s="37" t="e">
        <f t="shared" si="18"/>
        <v>#DIV/0!</v>
      </c>
      <c r="L48" s="37" t="e">
        <f>+((L46/L50)^2-(L46^2))^(0.5)</f>
        <v>#DIV/0!</v>
      </c>
      <c r="M48" s="37" t="e">
        <f>+((M46/M50)^2-(M46^2))^(0.5)</f>
        <v>#DIV/0!</v>
      </c>
      <c r="N48" s="37" t="e">
        <f>+((N46/N50)^2-(N46^2))^(0.5)</f>
        <v>#DIV/0!</v>
      </c>
      <c r="O48" s="37"/>
      <c r="P48" s="4">
        <f>HLOOKUP(P46,B46:N48,3,FALSE)</f>
        <v>1904.1215387280783</v>
      </c>
    </row>
    <row r="49" spans="1:16" x14ac:dyDescent="0.25">
      <c r="A49" s="3" t="s">
        <v>8</v>
      </c>
      <c r="B49" s="37">
        <f>+B47/(24*B$8)</f>
        <v>0</v>
      </c>
      <c r="C49" s="37">
        <f>+C47/(24*C$8)</f>
        <v>0</v>
      </c>
      <c r="D49" s="37">
        <f t="shared" ref="D49:K49" si="19">+D47/(24*D$8)</f>
        <v>0</v>
      </c>
      <c r="E49" s="37">
        <f t="shared" si="19"/>
        <v>0</v>
      </c>
      <c r="F49" s="37">
        <f t="shared" si="19"/>
        <v>0</v>
      </c>
      <c r="G49" s="37">
        <f>+G47/(24*G$8)</f>
        <v>8547.2070755107525</v>
      </c>
      <c r="H49" s="37">
        <f t="shared" si="19"/>
        <v>0</v>
      </c>
      <c r="I49" s="37">
        <f t="shared" si="19"/>
        <v>0</v>
      </c>
      <c r="J49" s="37">
        <f t="shared" si="19"/>
        <v>0</v>
      </c>
      <c r="K49" s="37">
        <f t="shared" si="19"/>
        <v>0</v>
      </c>
      <c r="L49" s="37">
        <f>+L47/(24*L$8)</f>
        <v>0</v>
      </c>
      <c r="M49" s="37">
        <f>+M47/(24*M$8)</f>
        <v>0</v>
      </c>
      <c r="N49" s="37">
        <f>+N47/(24*N$8)</f>
        <v>0</v>
      </c>
      <c r="O49" s="6">
        <f>SUM(O47)/(24*O$8)</f>
        <v>725.92717627625564</v>
      </c>
      <c r="P49" s="4">
        <f>O47/(COUNTIF(B47:N47,"&gt;0")*720)</f>
        <v>8832.1139780277772</v>
      </c>
    </row>
    <row r="50" spans="1:16" x14ac:dyDescent="0.25">
      <c r="A50" s="3" t="s">
        <v>9</v>
      </c>
      <c r="B50" s="380">
        <f>VLOOKUP($B$45,BancoTabla_1[],10,FALSE)</f>
        <v>0</v>
      </c>
      <c r="C50" s="380">
        <f>VLOOKUP($B$45,BancoTabla_2[],10,FALSE)</f>
        <v>0</v>
      </c>
      <c r="D50" s="380">
        <f>VLOOKUP($B$45,BancoTabla_3[],10,FALSE)</f>
        <v>0</v>
      </c>
      <c r="E50" s="380">
        <f>VLOOKUP($B$45,BancoTabla_4[],10,FALSE)</f>
        <v>0</v>
      </c>
      <c r="F50" s="380">
        <f>VLOOKUP($B$45,BancoTabla_5[],10,FALSE)</f>
        <v>0</v>
      </c>
      <c r="G50" s="380">
        <f>VLOOKUP($B$45,BancoTabla_6[],10,FALSE)</f>
        <v>0.98839200000000005</v>
      </c>
      <c r="H50" s="380">
        <f>VLOOKUP($B$45,BancoTabla_7[],10,FALSE)</f>
        <v>0</v>
      </c>
      <c r="I50" s="380">
        <f>VLOOKUP($B$45,BancoTabla_8[],10,FALSE)</f>
        <v>0</v>
      </c>
      <c r="J50" s="380">
        <f>VLOOKUP($B$45,BancoTabla_9[],10,FALSE)</f>
        <v>0</v>
      </c>
      <c r="K50" s="380">
        <f>VLOOKUP($B$45,BancoTabla_10[],10,FALSE)</f>
        <v>0</v>
      </c>
      <c r="L50" s="380">
        <f>VLOOKUP($B$45,BancoTabla_11[],10,FALSE)</f>
        <v>0</v>
      </c>
      <c r="M50" s="380">
        <f>VLOOKUP($B$45,BancoTabla_12[],10,FALSE)</f>
        <v>0</v>
      </c>
      <c r="N50" s="380">
        <f>VLOOKUP($B$45,BancoTabla_13[],10,FALSE)</f>
        <v>0</v>
      </c>
      <c r="O50" s="6"/>
      <c r="P50" s="4">
        <f>COS(ATAN(P48/P46))</f>
        <v>0.98839199999999994</v>
      </c>
    </row>
    <row r="51" spans="1:16" x14ac:dyDescent="0.25">
      <c r="A51" s="3" t="s">
        <v>17</v>
      </c>
      <c r="B51" s="37" t="e">
        <f>+B46/B49</f>
        <v>#DIV/0!</v>
      </c>
      <c r="C51" s="37" t="e">
        <f t="shared" ref="C51:N51" si="20">+C46/C49</f>
        <v>#DIV/0!</v>
      </c>
      <c r="D51" s="37" t="e">
        <f t="shared" si="20"/>
        <v>#DIV/0!</v>
      </c>
      <c r="E51" s="37" t="e">
        <f t="shared" si="20"/>
        <v>#DIV/0!</v>
      </c>
      <c r="F51" s="37" t="e">
        <f t="shared" si="20"/>
        <v>#DIV/0!</v>
      </c>
      <c r="G51" s="37">
        <f t="shared" si="20"/>
        <v>1.4493389311337994</v>
      </c>
      <c r="H51" s="37" t="e">
        <f t="shared" si="20"/>
        <v>#DIV/0!</v>
      </c>
      <c r="I51" s="37" t="e">
        <f t="shared" si="20"/>
        <v>#DIV/0!</v>
      </c>
      <c r="J51" s="37" t="e">
        <f t="shared" si="20"/>
        <v>#DIV/0!</v>
      </c>
      <c r="K51" s="37" t="e">
        <f t="shared" si="20"/>
        <v>#DIV/0!</v>
      </c>
      <c r="L51" s="37" t="e">
        <f t="shared" si="20"/>
        <v>#DIV/0!</v>
      </c>
      <c r="M51" s="37" t="e">
        <f t="shared" si="20"/>
        <v>#DIV/0!</v>
      </c>
      <c r="N51" s="37" t="e">
        <f t="shared" si="20"/>
        <v>#DIV/0!</v>
      </c>
      <c r="O51" s="6"/>
      <c r="P51" s="4">
        <f>+P49/P46</f>
        <v>0.71296872742179762</v>
      </c>
    </row>
    <row r="52" spans="1:16" x14ac:dyDescent="0.25">
      <c r="A52" s="3" t="s">
        <v>18</v>
      </c>
      <c r="B52" s="181" t="e">
        <f>+B43/B46</f>
        <v>#DIV/0!</v>
      </c>
      <c r="C52" s="181" t="e">
        <f t="shared" ref="C52:N52" si="21">+C43/C46</f>
        <v>#DIV/0!</v>
      </c>
      <c r="D52" s="181" t="e">
        <f t="shared" si="21"/>
        <v>#DIV/0!</v>
      </c>
      <c r="E52" s="181" t="e">
        <f t="shared" si="21"/>
        <v>#DIV/0!</v>
      </c>
      <c r="F52" s="181" t="e">
        <f t="shared" si="21"/>
        <v>#DIV/0!</v>
      </c>
      <c r="G52" s="181">
        <f t="shared" si="21"/>
        <v>1.0362259666926701</v>
      </c>
      <c r="H52" s="181" t="e">
        <f t="shared" si="21"/>
        <v>#DIV/0!</v>
      </c>
      <c r="I52" s="181" t="e">
        <f t="shared" si="21"/>
        <v>#DIV/0!</v>
      </c>
      <c r="J52" s="181" t="e">
        <f t="shared" si="21"/>
        <v>#DIV/0!</v>
      </c>
      <c r="K52" s="181" t="e">
        <f t="shared" si="21"/>
        <v>#DIV/0!</v>
      </c>
      <c r="L52" s="181" t="e">
        <f t="shared" si="21"/>
        <v>#DIV/0!</v>
      </c>
      <c r="M52" s="181" t="e">
        <f t="shared" si="21"/>
        <v>#DIV/0!</v>
      </c>
      <c r="N52" s="181" t="e">
        <f t="shared" si="21"/>
        <v>#DIV/0!</v>
      </c>
      <c r="O52" s="6"/>
      <c r="P52" s="4">
        <f>+P43/P46</f>
        <v>1.0362259666926701</v>
      </c>
    </row>
    <row r="53" spans="1:16" x14ac:dyDescent="0.25">
      <c r="A53" s="3" t="s">
        <v>19</v>
      </c>
      <c r="B53" s="37">
        <f>+B46/B54</f>
        <v>0</v>
      </c>
      <c r="C53" s="37" t="e">
        <f t="shared" ref="C53:N53" si="22">+C46/C54</f>
        <v>#DIV/0!</v>
      </c>
      <c r="D53" s="37" t="e">
        <f t="shared" si="22"/>
        <v>#DIV/0!</v>
      </c>
      <c r="E53" s="37" t="e">
        <f t="shared" si="22"/>
        <v>#DIV/0!</v>
      </c>
      <c r="F53" s="37" t="e">
        <f t="shared" si="22"/>
        <v>#DIV/0!</v>
      </c>
      <c r="G53" s="37" t="e">
        <f t="shared" si="22"/>
        <v>#DIV/0!</v>
      </c>
      <c r="H53" s="37" t="e">
        <f t="shared" si="22"/>
        <v>#DIV/0!</v>
      </c>
      <c r="I53" s="37" t="e">
        <f t="shared" si="22"/>
        <v>#DIV/0!</v>
      </c>
      <c r="J53" s="37" t="e">
        <f t="shared" si="22"/>
        <v>#DIV/0!</v>
      </c>
      <c r="K53" s="37" t="e">
        <f t="shared" si="22"/>
        <v>#DIV/0!</v>
      </c>
      <c r="L53" s="37" t="e">
        <f t="shared" si="22"/>
        <v>#DIV/0!</v>
      </c>
      <c r="M53" s="37" t="e">
        <f t="shared" si="22"/>
        <v>#DIV/0!</v>
      </c>
      <c r="N53" s="37" t="e">
        <f t="shared" si="22"/>
        <v>#DIV/0!</v>
      </c>
      <c r="O53" s="6"/>
      <c r="P53" s="4" t="e">
        <f>+P46/$B$47</f>
        <v>#DIV/0!</v>
      </c>
    </row>
    <row r="54" spans="1:16" x14ac:dyDescent="0.25">
      <c r="A54" s="3" t="s">
        <v>20</v>
      </c>
      <c r="B54" s="4">
        <f>20*P50*1000</f>
        <v>19767.84</v>
      </c>
      <c r="C54" s="4"/>
      <c r="D54" s="4"/>
      <c r="E54" s="4"/>
      <c r="F54" s="4"/>
      <c r="G54" s="3"/>
      <c r="H54" s="3"/>
      <c r="I54" s="3"/>
      <c r="J54" s="3"/>
      <c r="K54" s="4"/>
      <c r="L54" s="4"/>
      <c r="M54" s="4"/>
      <c r="N54" s="4"/>
      <c r="O54" s="37"/>
      <c r="P54" s="4"/>
    </row>
    <row r="55" spans="1:16" x14ac:dyDescent="0.25">
      <c r="B55" s="237">
        <f>B46/$B$54</f>
        <v>0</v>
      </c>
      <c r="C55" s="237"/>
      <c r="D55" s="237">
        <f t="shared" ref="D55:N55" si="23">D46/$B$54</f>
        <v>0</v>
      </c>
      <c r="E55" s="237">
        <f t="shared" si="23"/>
        <v>0</v>
      </c>
      <c r="F55" s="237">
        <f t="shared" si="23"/>
        <v>0</v>
      </c>
      <c r="G55" s="237">
        <f t="shared" si="23"/>
        <v>0.62666431775044718</v>
      </c>
      <c r="H55" s="237">
        <f t="shared" si="23"/>
        <v>0</v>
      </c>
      <c r="I55" s="237">
        <f t="shared" si="23"/>
        <v>0</v>
      </c>
      <c r="J55" s="237">
        <f t="shared" si="23"/>
        <v>0</v>
      </c>
      <c r="K55" s="237">
        <f t="shared" si="23"/>
        <v>0</v>
      </c>
      <c r="L55" s="237">
        <f t="shared" si="23"/>
        <v>0</v>
      </c>
      <c r="M55" s="237">
        <f t="shared" si="23"/>
        <v>0</v>
      </c>
      <c r="N55" s="237">
        <f t="shared" si="23"/>
        <v>0</v>
      </c>
      <c r="O55" s="24"/>
    </row>
    <row r="56" spans="1:16" x14ac:dyDescent="0.25">
      <c r="B56" s="26"/>
      <c r="C56" s="26"/>
      <c r="D56" s="26"/>
      <c r="E56" s="26"/>
      <c r="F56" s="26"/>
      <c r="O56" s="24"/>
    </row>
    <row r="57" spans="1:16" x14ac:dyDescent="0.25">
      <c r="A57" s="15" t="s">
        <v>14</v>
      </c>
      <c r="B57" s="29"/>
      <c r="C57" s="29"/>
      <c r="D57" s="29"/>
      <c r="E57" s="29"/>
      <c r="F57" s="29"/>
      <c r="G57" s="15"/>
      <c r="H57" s="15"/>
      <c r="I57" s="15"/>
      <c r="J57" s="15"/>
      <c r="K57" s="16"/>
      <c r="L57" s="16"/>
      <c r="M57" s="16"/>
      <c r="N57" s="16"/>
      <c r="O57" s="57"/>
      <c r="P57" s="16"/>
    </row>
    <row r="58" spans="1:16" x14ac:dyDescent="0.25">
      <c r="A58" s="16" t="s">
        <v>11</v>
      </c>
      <c r="B58" s="45">
        <f>+B46</f>
        <v>0</v>
      </c>
      <c r="C58" s="45">
        <f>+C46</f>
        <v>0</v>
      </c>
      <c r="D58" s="45">
        <f t="shared" ref="D58:M58" si="24">+D46</f>
        <v>0</v>
      </c>
      <c r="E58" s="45">
        <f>+E46</f>
        <v>0</v>
      </c>
      <c r="F58" s="45">
        <f t="shared" si="24"/>
        <v>0</v>
      </c>
      <c r="G58" s="45">
        <f t="shared" si="24"/>
        <v>12387.799967000001</v>
      </c>
      <c r="H58" s="45">
        <f t="shared" si="24"/>
        <v>0</v>
      </c>
      <c r="I58" s="45">
        <f t="shared" si="24"/>
        <v>0</v>
      </c>
      <c r="J58" s="45">
        <f t="shared" si="24"/>
        <v>0</v>
      </c>
      <c r="K58" s="45">
        <f t="shared" si="24"/>
        <v>0</v>
      </c>
      <c r="L58" s="45">
        <f t="shared" si="24"/>
        <v>0</v>
      </c>
      <c r="M58" s="45">
        <f t="shared" si="24"/>
        <v>0</v>
      </c>
      <c r="N58" s="45">
        <f>+N46</f>
        <v>0</v>
      </c>
      <c r="O58" s="57"/>
      <c r="P58" s="45">
        <f>MAX(B58:N58)</f>
        <v>12387.799967000001</v>
      </c>
    </row>
    <row r="59" spans="1:16" x14ac:dyDescent="0.25">
      <c r="A59" s="16" t="s">
        <v>7</v>
      </c>
      <c r="B59" s="45">
        <f>+B47</f>
        <v>0</v>
      </c>
      <c r="C59" s="45">
        <f>+C47</f>
        <v>0</v>
      </c>
      <c r="D59" s="45">
        <f>+D47</f>
        <v>0</v>
      </c>
      <c r="E59" s="45">
        <f t="shared" ref="E59:M59" si="25">+E47</f>
        <v>0</v>
      </c>
      <c r="F59" s="45">
        <f t="shared" si="25"/>
        <v>0</v>
      </c>
      <c r="G59" s="45">
        <f t="shared" si="25"/>
        <v>6359122.0641799998</v>
      </c>
      <c r="H59" s="45">
        <f t="shared" si="25"/>
        <v>0</v>
      </c>
      <c r="I59" s="45">
        <f t="shared" si="25"/>
        <v>0</v>
      </c>
      <c r="J59" s="45">
        <f t="shared" si="25"/>
        <v>0</v>
      </c>
      <c r="K59" s="45">
        <f t="shared" si="25"/>
        <v>0</v>
      </c>
      <c r="L59" s="45">
        <f t="shared" si="25"/>
        <v>0</v>
      </c>
      <c r="M59" s="45">
        <f t="shared" si="25"/>
        <v>0</v>
      </c>
      <c r="N59" s="45">
        <f>+N47</f>
        <v>0</v>
      </c>
      <c r="O59" s="63">
        <f>SUM(B59:N59)</f>
        <v>6359122.0641799998</v>
      </c>
      <c r="P59" s="43"/>
    </row>
    <row r="60" spans="1:16" x14ac:dyDescent="0.25">
      <c r="B60" s="26"/>
      <c r="C60" s="26"/>
      <c r="D60" s="26"/>
      <c r="E60" s="26"/>
      <c r="F60" s="26"/>
      <c r="O60" s="24"/>
      <c r="P60" s="39"/>
    </row>
    <row r="61" spans="1:16" x14ac:dyDescent="0.25">
      <c r="A61" s="12" t="s">
        <v>21</v>
      </c>
      <c r="B61" s="28"/>
      <c r="C61" s="28"/>
      <c r="D61" s="28"/>
      <c r="E61" s="28"/>
      <c r="F61" s="28"/>
      <c r="G61" s="12"/>
      <c r="H61" s="12"/>
      <c r="I61" s="12"/>
      <c r="J61" s="12"/>
      <c r="K61" s="11"/>
      <c r="L61" s="11"/>
      <c r="M61" s="11"/>
      <c r="N61" s="11"/>
      <c r="O61" s="56"/>
      <c r="P61" s="137"/>
    </row>
    <row r="62" spans="1:16" x14ac:dyDescent="0.25">
      <c r="A62" s="13" t="s">
        <v>6</v>
      </c>
      <c r="B62" s="49">
        <f>+B58</f>
        <v>0</v>
      </c>
      <c r="C62" s="49">
        <f>+C58</f>
        <v>0</v>
      </c>
      <c r="D62" s="49">
        <f t="shared" ref="D62:L62" si="26">+D58</f>
        <v>0</v>
      </c>
      <c r="E62" s="49">
        <f>+E58</f>
        <v>0</v>
      </c>
      <c r="F62" s="49">
        <f t="shared" si="26"/>
        <v>0</v>
      </c>
      <c r="G62" s="49">
        <f>+G58</f>
        <v>12387.799967000001</v>
      </c>
      <c r="H62" s="49">
        <f t="shared" si="26"/>
        <v>0</v>
      </c>
      <c r="I62" s="49">
        <f t="shared" si="26"/>
        <v>0</v>
      </c>
      <c r="J62" s="49">
        <f t="shared" si="26"/>
        <v>0</v>
      </c>
      <c r="K62" s="49">
        <f t="shared" si="26"/>
        <v>0</v>
      </c>
      <c r="L62" s="49">
        <f t="shared" si="26"/>
        <v>0</v>
      </c>
      <c r="M62" s="49">
        <f>+M58</f>
        <v>0</v>
      </c>
      <c r="N62" s="49">
        <f>+N58</f>
        <v>0</v>
      </c>
      <c r="O62" s="80"/>
      <c r="P62" s="44">
        <f>MAX(B62:N62)</f>
        <v>12387.799967000001</v>
      </c>
    </row>
    <row r="63" spans="1:16" x14ac:dyDescent="0.25">
      <c r="A63" s="14" t="s">
        <v>18</v>
      </c>
      <c r="B63" s="14" t="e">
        <f>+B58/B62</f>
        <v>#DIV/0!</v>
      </c>
      <c r="C63" s="14" t="e">
        <f>+C58/C62</f>
        <v>#DIV/0!</v>
      </c>
      <c r="D63" s="14" t="e">
        <f t="shared" ref="D63:M63" si="27">+D58/D62</f>
        <v>#DIV/0!</v>
      </c>
      <c r="E63" s="14" t="e">
        <f t="shared" si="27"/>
        <v>#DIV/0!</v>
      </c>
      <c r="F63" s="14" t="e">
        <f t="shared" si="27"/>
        <v>#DIV/0!</v>
      </c>
      <c r="G63" s="14">
        <f t="shared" si="27"/>
        <v>1</v>
      </c>
      <c r="H63" s="14" t="e">
        <f t="shared" si="27"/>
        <v>#DIV/0!</v>
      </c>
      <c r="I63" s="14" t="e">
        <f t="shared" si="27"/>
        <v>#DIV/0!</v>
      </c>
      <c r="J63" s="14" t="e">
        <f t="shared" si="27"/>
        <v>#DIV/0!</v>
      </c>
      <c r="K63" s="14" t="e">
        <f t="shared" si="27"/>
        <v>#DIV/0!</v>
      </c>
      <c r="L63" s="14" t="e">
        <f t="shared" si="27"/>
        <v>#DIV/0!</v>
      </c>
      <c r="M63" s="14" t="e">
        <f t="shared" si="27"/>
        <v>#DIV/0!</v>
      </c>
      <c r="N63" s="14" t="e">
        <f>+N58/N62</f>
        <v>#DIV/0!</v>
      </c>
      <c r="O63" s="5"/>
      <c r="P63" s="14">
        <f>+P58/P62</f>
        <v>1</v>
      </c>
    </row>
    <row r="64" spans="1:16" x14ac:dyDescent="0.25">
      <c r="A64" s="33"/>
      <c r="B64" s="33"/>
      <c r="C64" s="33"/>
      <c r="D64" s="33"/>
      <c r="E64" s="33"/>
      <c r="F64" s="33"/>
      <c r="G64" s="33"/>
      <c r="H64" s="33"/>
      <c r="I64" s="33"/>
      <c r="J64" s="33"/>
      <c r="K64" s="33"/>
      <c r="L64" s="33"/>
      <c r="M64" s="33"/>
      <c r="N64" s="33"/>
      <c r="O64" s="48"/>
      <c r="P64" s="33"/>
    </row>
    <row r="65" spans="1:16" x14ac:dyDescent="0.25">
      <c r="A65" s="33"/>
      <c r="B65" s="33"/>
      <c r="C65" s="33"/>
      <c r="D65" s="33"/>
      <c r="E65" s="33"/>
      <c r="F65" s="61" t="s">
        <v>160</v>
      </c>
      <c r="G65" s="145">
        <f>P13+P20+P27+P34</f>
        <v>12836.559996000002</v>
      </c>
      <c r="H65" s="33"/>
      <c r="I65" s="33"/>
      <c r="J65" s="33"/>
      <c r="K65" s="33"/>
      <c r="L65" s="33"/>
      <c r="M65" s="33"/>
      <c r="N65" s="33"/>
      <c r="O65" s="48"/>
      <c r="P65" s="33"/>
    </row>
    <row r="66" spans="1:16" x14ac:dyDescent="0.25">
      <c r="F66" s="61" t="s">
        <v>161</v>
      </c>
      <c r="G66" s="145">
        <f>P46</f>
        <v>12387.799967000001</v>
      </c>
    </row>
    <row r="67" spans="1:16" x14ac:dyDescent="0.25">
      <c r="F67" s="146" t="s">
        <v>162</v>
      </c>
      <c r="G67" s="147">
        <f>G65/G66</f>
        <v>1.0362259666926701</v>
      </c>
    </row>
  </sheetData>
  <mergeCells count="21">
    <mergeCell ref="C9:C10"/>
    <mergeCell ref="A9:A10"/>
    <mergeCell ref="B9:B10"/>
    <mergeCell ref="D9:D10"/>
    <mergeCell ref="E9:E10"/>
    <mergeCell ref="E2:M2"/>
    <mergeCell ref="E3:M3"/>
    <mergeCell ref="E4:M4"/>
    <mergeCell ref="E5:M5"/>
    <mergeCell ref="F9:F10"/>
    <mergeCell ref="E6:M6"/>
    <mergeCell ref="J9:J10"/>
    <mergeCell ref="N9:N10"/>
    <mergeCell ref="G9:G10"/>
    <mergeCell ref="H9:H10"/>
    <mergeCell ref="I9:I10"/>
    <mergeCell ref="P9:P10"/>
    <mergeCell ref="K9:K10"/>
    <mergeCell ref="L9:L10"/>
    <mergeCell ref="M9:M10"/>
    <mergeCell ref="O9:O10"/>
  </mergeCells>
  <phoneticPr fontId="5" type="noConversion"/>
  <printOptions horizontalCentered="1" verticalCentered="1"/>
  <pageMargins left="0.19685039370078741" right="0.19685039370078741" top="0.19685039370078741" bottom="0.19685039370078741" header="0" footer="0"/>
  <pageSetup scale="70" orientation="landscape" horizontalDpi="300" verticalDpi="300" r:id="rId1"/>
  <headerFooter alignWithMargins="0">
    <oddFooter>&amp;RElaboro: Departamento de Planeacion Campeche</oddFooter>
  </headerFooter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Hoja4">
    <tabColor theme="8" tint="0.59999389629810485"/>
    <pageSetUpPr fitToPage="1"/>
  </sheetPr>
  <dimension ref="A1:R104"/>
  <sheetViews>
    <sheetView zoomScale="110" zoomScaleNormal="110" zoomScaleSheetLayoutView="100" workbookViewId="0">
      <selection activeCell="D31" sqref="D31"/>
    </sheetView>
  </sheetViews>
  <sheetFormatPr baseColWidth="10" defaultRowHeight="13.2" x14ac:dyDescent="0.25"/>
  <cols>
    <col min="1" max="1" width="15" customWidth="1"/>
    <col min="2" max="4" width="15.6640625" customWidth="1"/>
    <col min="5" max="5" width="16.6640625" customWidth="1"/>
    <col min="6" max="7" width="15.6640625" customWidth="1"/>
    <col min="8" max="8" width="16.5546875" customWidth="1"/>
    <col min="9" max="16" width="15.6640625" customWidth="1"/>
    <col min="18" max="18" width="11.6640625" bestFit="1" customWidth="1"/>
  </cols>
  <sheetData>
    <row r="1" spans="1:16" x14ac:dyDescent="0.25">
      <c r="A1" s="361" t="s">
        <v>435</v>
      </c>
    </row>
    <row r="2" spans="1:16" x14ac:dyDescent="0.25">
      <c r="E2" s="398" t="s">
        <v>0</v>
      </c>
      <c r="F2" s="398"/>
      <c r="G2" s="398"/>
      <c r="H2" s="398"/>
      <c r="I2" s="398"/>
      <c r="J2" s="398"/>
      <c r="K2" s="398"/>
      <c r="L2" s="398"/>
      <c r="M2" s="398"/>
      <c r="N2" s="20"/>
      <c r="O2" s="20"/>
    </row>
    <row r="3" spans="1:16" x14ac:dyDescent="0.25">
      <c r="E3" s="398" t="s">
        <v>1</v>
      </c>
      <c r="F3" s="398"/>
      <c r="G3" s="398"/>
      <c r="H3" s="398"/>
      <c r="I3" s="398"/>
      <c r="J3" s="398"/>
      <c r="K3" s="398"/>
      <c r="L3" s="398"/>
      <c r="M3" s="398"/>
      <c r="N3" s="20"/>
      <c r="O3" s="20"/>
    </row>
    <row r="4" spans="1:16" x14ac:dyDescent="0.25">
      <c r="E4" s="398" t="s">
        <v>22</v>
      </c>
      <c r="F4" s="398"/>
      <c r="G4" s="398"/>
      <c r="H4" s="398"/>
      <c r="I4" s="398"/>
      <c r="J4" s="398"/>
      <c r="K4" s="398"/>
      <c r="L4" s="398"/>
      <c r="M4" s="398"/>
      <c r="N4" s="20"/>
      <c r="O4" s="20"/>
    </row>
    <row r="5" spans="1:16" x14ac:dyDescent="0.25">
      <c r="E5" s="398" t="s">
        <v>23</v>
      </c>
      <c r="F5" s="398"/>
      <c r="G5" s="398"/>
      <c r="H5" s="398"/>
      <c r="I5" s="398"/>
      <c r="J5" s="398"/>
      <c r="K5" s="398"/>
      <c r="L5" s="398"/>
      <c r="M5" s="398"/>
      <c r="N5" s="20"/>
      <c r="O5" s="20"/>
    </row>
    <row r="6" spans="1:16" x14ac:dyDescent="0.25">
      <c r="E6" s="398" t="s">
        <v>2</v>
      </c>
      <c r="F6" s="398"/>
      <c r="G6" s="398"/>
      <c r="H6" s="398"/>
      <c r="I6" s="398"/>
      <c r="J6" s="398"/>
      <c r="K6" s="398"/>
      <c r="L6" s="398"/>
      <c r="M6" s="398"/>
      <c r="N6" s="20"/>
      <c r="O6" s="20"/>
    </row>
    <row r="7" spans="1:16" x14ac:dyDescent="0.25"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</row>
    <row r="8" spans="1:16" ht="13.8" thickBot="1" x14ac:dyDescent="0.3">
      <c r="A8" s="18" t="s">
        <v>15</v>
      </c>
      <c r="B8" s="18">
        <v>31</v>
      </c>
      <c r="C8" s="18">
        <v>31</v>
      </c>
      <c r="D8" s="18">
        <v>28</v>
      </c>
      <c r="E8" s="18">
        <v>31</v>
      </c>
      <c r="F8" s="18">
        <v>30</v>
      </c>
      <c r="G8" s="18">
        <v>31</v>
      </c>
      <c r="H8" s="18">
        <v>30</v>
      </c>
      <c r="I8" s="18">
        <v>31</v>
      </c>
      <c r="J8" s="18">
        <v>31</v>
      </c>
      <c r="K8" s="18">
        <v>30</v>
      </c>
      <c r="L8" s="18">
        <v>31</v>
      </c>
      <c r="M8" s="18">
        <v>30</v>
      </c>
      <c r="N8" s="18">
        <v>31</v>
      </c>
      <c r="O8" s="18">
        <f>SUM(B8:M8)</f>
        <v>365</v>
      </c>
      <c r="P8" s="19">
        <f>+O8/12</f>
        <v>30.416666666666668</v>
      </c>
    </row>
    <row r="9" spans="1:16" ht="13.8" thickTop="1" x14ac:dyDescent="0.25">
      <c r="A9" s="404" t="s">
        <v>3</v>
      </c>
      <c r="B9" s="406">
        <v>44531</v>
      </c>
      <c r="C9" s="406">
        <v>44562</v>
      </c>
      <c r="D9" s="406">
        <v>44593</v>
      </c>
      <c r="E9" s="406">
        <v>44621</v>
      </c>
      <c r="F9" s="406">
        <v>44652</v>
      </c>
      <c r="G9" s="406">
        <v>44682</v>
      </c>
      <c r="H9" s="406">
        <v>44713</v>
      </c>
      <c r="I9" s="406">
        <v>44743</v>
      </c>
      <c r="J9" s="406">
        <v>44774</v>
      </c>
      <c r="K9" s="406">
        <v>44805</v>
      </c>
      <c r="L9" s="406">
        <v>44835</v>
      </c>
      <c r="M9" s="406">
        <v>44866</v>
      </c>
      <c r="N9" s="406">
        <v>44896</v>
      </c>
      <c r="O9" s="404" t="s">
        <v>4</v>
      </c>
      <c r="P9" s="404" t="s">
        <v>5</v>
      </c>
    </row>
    <row r="10" spans="1:16" ht="13.8" thickBot="1" x14ac:dyDescent="0.3">
      <c r="A10" s="405"/>
      <c r="B10" s="407"/>
      <c r="C10" s="407"/>
      <c r="D10" s="407"/>
      <c r="E10" s="407"/>
      <c r="F10" s="407"/>
      <c r="G10" s="407"/>
      <c r="H10" s="407"/>
      <c r="I10" s="407"/>
      <c r="J10" s="407"/>
      <c r="K10" s="407"/>
      <c r="L10" s="407"/>
      <c r="M10" s="407"/>
      <c r="N10" s="407"/>
      <c r="O10" s="405"/>
      <c r="P10" s="405"/>
    </row>
    <row r="11" spans="1:16" s="24" customFormat="1" ht="13.8" thickTop="1" x14ac:dyDescent="0.25">
      <c r="A11" s="21"/>
      <c r="B11" s="22"/>
      <c r="C11" s="22"/>
      <c r="D11" s="22"/>
      <c r="E11" s="22"/>
      <c r="F11" s="22"/>
      <c r="G11" s="22"/>
      <c r="H11" s="22"/>
      <c r="I11" s="22"/>
      <c r="J11" s="23"/>
      <c r="K11" s="22"/>
      <c r="L11" s="22"/>
      <c r="M11" s="22"/>
      <c r="N11" s="22"/>
      <c r="O11" s="21"/>
      <c r="P11" s="21"/>
    </row>
    <row r="12" spans="1:16" s="24" customFormat="1" x14ac:dyDescent="0.25">
      <c r="A12" s="271" t="s">
        <v>215</v>
      </c>
      <c r="B12" s="65"/>
      <c r="C12" s="65"/>
      <c r="D12" s="65"/>
      <c r="E12" s="65"/>
      <c r="F12" s="65"/>
      <c r="G12" s="66"/>
      <c r="H12" s="66"/>
      <c r="I12" s="66"/>
      <c r="J12" s="66"/>
      <c r="K12" s="50"/>
      <c r="L12" s="50"/>
      <c r="M12" s="50"/>
      <c r="N12" s="50"/>
      <c r="O12" s="50"/>
      <c r="P12" s="50"/>
    </row>
    <row r="13" spans="1:16" x14ac:dyDescent="0.25">
      <c r="A13" s="3" t="s">
        <v>6</v>
      </c>
      <c r="B13" s="380">
        <f>VLOOKUP($A$12,TABLA_1[],5,FALSE)</f>
        <v>0</v>
      </c>
      <c r="C13" s="380">
        <f>VLOOKUP($A$12,TABLA_2[],5,FALSE)</f>
        <v>0</v>
      </c>
      <c r="D13" s="380">
        <f>VLOOKUP($A$12,TABLA_3[],5,FALSE)</f>
        <v>0</v>
      </c>
      <c r="E13" s="380">
        <f>VLOOKUP($A$12,TABLA_4[],5,FALSE)</f>
        <v>0</v>
      </c>
      <c r="F13" s="380">
        <f>VLOOKUP($A$12,TABLA_5[],5,FALSE)</f>
        <v>0</v>
      </c>
      <c r="G13" s="380">
        <f>VLOOKUP($A$12,TABLA_6[],5,FALSE)</f>
        <v>7022.330078</v>
      </c>
      <c r="H13" s="380">
        <f>VLOOKUP($A$12,TABLA_7[],5,FALSE)</f>
        <v>0</v>
      </c>
      <c r="I13" s="380">
        <f>VLOOKUP($A$12,TABLA_8[],5,FALSE)</f>
        <v>0</v>
      </c>
      <c r="J13" s="380">
        <f>VLOOKUP($A$12,TABLA_9[],5,FALSE)</f>
        <v>0</v>
      </c>
      <c r="K13" s="380">
        <f>VLOOKUP($A$12,TABLA_10[],5,FALSE)</f>
        <v>0</v>
      </c>
      <c r="L13" s="380">
        <f>VLOOKUP($A$12,TABLA_11[],5,FALSE)</f>
        <v>0</v>
      </c>
      <c r="M13" s="380">
        <f>VLOOKUP($A$12,TABLA_12[],5,FALSE)</f>
        <v>0</v>
      </c>
      <c r="N13" s="380">
        <f>VLOOKUP($A$12,TABLA_13[],5,FALSE)</f>
        <v>0</v>
      </c>
      <c r="O13" s="6"/>
      <c r="P13" s="47">
        <f>MAX(B13:N13)</f>
        <v>7022.330078</v>
      </c>
    </row>
    <row r="14" spans="1:16" x14ac:dyDescent="0.25">
      <c r="A14" s="3" t="s">
        <v>7</v>
      </c>
      <c r="B14" s="380">
        <f>VLOOKUP($A$12,TABLA_1[],8,FALSE)</f>
        <v>0</v>
      </c>
      <c r="C14" s="380">
        <f>VLOOKUP($A$12,TABLA_2[],8,FALSE)</f>
        <v>0</v>
      </c>
      <c r="D14" s="380">
        <f>VLOOKUP($A$12,TABLA_3[],8,FALSE)</f>
        <v>0</v>
      </c>
      <c r="E14" s="380">
        <f>VLOOKUP($A$12,TABLA_4[],8,FALSE)</f>
        <v>0</v>
      </c>
      <c r="F14" s="380">
        <f>VLOOKUP($A$12,TABLA_5[],8,FALSE)</f>
        <v>0</v>
      </c>
      <c r="G14" s="380">
        <f>VLOOKUP($A$12,TABLA_6[],8,FALSE)</f>
        <v>3771196.7195339999</v>
      </c>
      <c r="H14" s="380">
        <f>VLOOKUP($A$12,TABLA_7[],8,FALSE)</f>
        <v>0</v>
      </c>
      <c r="I14" s="380">
        <f>VLOOKUP($A$12,TABLA_8[],8,FALSE)</f>
        <v>0</v>
      </c>
      <c r="J14" s="380">
        <f>VLOOKUP($A$12,TABLA_9[],8,FALSE)</f>
        <v>0</v>
      </c>
      <c r="K14" s="380">
        <f>VLOOKUP($A$12,TABLA_10[],8,FALSE)</f>
        <v>0</v>
      </c>
      <c r="L14" s="380">
        <f>VLOOKUP($A$12,TABLA_11[],8,FALSE)</f>
        <v>0</v>
      </c>
      <c r="M14" s="380">
        <f>VLOOKUP($A$12,TABLA_12[],8,FALSE)</f>
        <v>0</v>
      </c>
      <c r="N14" s="380">
        <f>VLOOKUP($A$12,TABLA_13[],8,FALSE)</f>
        <v>0</v>
      </c>
      <c r="O14" s="47">
        <f>SUM(B14:N14)</f>
        <v>3771196.7195339999</v>
      </c>
      <c r="P14" s="43">
        <f>SUM(B14:N14)/(COUNTIF(B14:N14,"&gt;0"))</f>
        <v>3771196.7195339999</v>
      </c>
    </row>
    <row r="15" spans="1:16" x14ac:dyDescent="0.25">
      <c r="A15" s="3" t="s">
        <v>16</v>
      </c>
      <c r="B15" s="37" t="e">
        <f>+((B13/B17)^2-(B13^2))^(0.5)</f>
        <v>#DIV/0!</v>
      </c>
      <c r="C15" s="37" t="e">
        <f>+((C13/C17)^2-(C13^2))^(0.5)</f>
        <v>#DIV/0!</v>
      </c>
      <c r="D15" s="37" t="e">
        <f t="shared" ref="D15:I15" si="0">+((D13/D17)^2-(D13^2))^(0.5)</f>
        <v>#DIV/0!</v>
      </c>
      <c r="E15" s="37" t="e">
        <f t="shared" si="0"/>
        <v>#DIV/0!</v>
      </c>
      <c r="F15" s="37" t="e">
        <f>+((F13/F17)^2-(F13^2))^(0.5)</f>
        <v>#DIV/0!</v>
      </c>
      <c r="G15" s="37">
        <f t="shared" si="0"/>
        <v>1135.2609383908436</v>
      </c>
      <c r="H15" s="37" t="e">
        <f t="shared" si="0"/>
        <v>#DIV/0!</v>
      </c>
      <c r="I15" s="37" t="e">
        <f t="shared" si="0"/>
        <v>#DIV/0!</v>
      </c>
      <c r="J15" s="37" t="e">
        <f>+((J13/J17)^2-(J13^2))^(0.5)</f>
        <v>#DIV/0!</v>
      </c>
      <c r="K15" s="37" t="e">
        <f>+((K13/K17)^2-(K13^2))^(0.5)</f>
        <v>#DIV/0!</v>
      </c>
      <c r="L15" s="37" t="e">
        <f>+((L13/L17)^2-(L13^2))^(0.5)</f>
        <v>#DIV/0!</v>
      </c>
      <c r="M15" s="37" t="e">
        <f>+((M13/M17)^2-(M13^2))^(0.5)</f>
        <v>#DIV/0!</v>
      </c>
      <c r="N15" s="37" t="e">
        <f>+((N13/N17)^2-(N13^2))^(0.5)</f>
        <v>#DIV/0!</v>
      </c>
      <c r="O15" s="37"/>
      <c r="P15" s="4">
        <f>HLOOKUP(P13,B13:N15,3,FALSE)</f>
        <v>1135.2609383908436</v>
      </c>
    </row>
    <row r="16" spans="1:16" x14ac:dyDescent="0.25">
      <c r="A16" s="3" t="s">
        <v>8</v>
      </c>
      <c r="B16" s="37">
        <f>+B14/(24*B$8)</f>
        <v>0</v>
      </c>
      <c r="C16" s="37">
        <f>+C14/(24*C$8)</f>
        <v>0</v>
      </c>
      <c r="D16" s="37">
        <f t="shared" ref="D16:I16" si="1">+D14/(24*D$8)</f>
        <v>0</v>
      </c>
      <c r="E16" s="37">
        <f t="shared" si="1"/>
        <v>0</v>
      </c>
      <c r="F16" s="37">
        <f t="shared" si="1"/>
        <v>0</v>
      </c>
      <c r="G16" s="37">
        <f t="shared" si="1"/>
        <v>5068.8127950725802</v>
      </c>
      <c r="H16" s="37">
        <f t="shared" si="1"/>
        <v>0</v>
      </c>
      <c r="I16" s="37">
        <f t="shared" si="1"/>
        <v>0</v>
      </c>
      <c r="J16" s="37">
        <f>+J14/(24*J$8)</f>
        <v>0</v>
      </c>
      <c r="K16" s="37">
        <f>+K14/(24*K$8)</f>
        <v>0</v>
      </c>
      <c r="L16" s="37">
        <f>+L14/(24*L$8)</f>
        <v>0</v>
      </c>
      <c r="M16" s="37">
        <f>+M14/(24*M$8)</f>
        <v>0</v>
      </c>
      <c r="N16" s="37">
        <f>+N14/(24*N$8)</f>
        <v>0</v>
      </c>
      <c r="O16" s="6">
        <f>SUM(O14)/(24*O$8)</f>
        <v>430.50190862260274</v>
      </c>
      <c r="P16" s="4">
        <f>O14/(COUNTIF(B14:N14,"&gt;0")*720)</f>
        <v>5237.7732215750002</v>
      </c>
    </row>
    <row r="17" spans="1:16" x14ac:dyDescent="0.25">
      <c r="A17" s="3" t="s">
        <v>9</v>
      </c>
      <c r="B17" s="380">
        <f>VLOOKUP($A$12,TABLA_1[],10,FALSE)</f>
        <v>0</v>
      </c>
      <c r="C17" s="380">
        <f>VLOOKUP($A$12,TABLA_2[],10,FALSE)</f>
        <v>0</v>
      </c>
      <c r="D17" s="380">
        <f>VLOOKUP($A$12,TABLA_3[],10,FALSE)</f>
        <v>0</v>
      </c>
      <c r="E17" s="380">
        <f>VLOOKUP($A$12,TABLA_4[],10,FALSE)</f>
        <v>0</v>
      </c>
      <c r="F17" s="380">
        <f>VLOOKUP($A$12,TABLA_5[],10,FALSE)</f>
        <v>0</v>
      </c>
      <c r="G17" s="380">
        <f>VLOOKUP($A$12,TABLA_6[],10,FALSE)</f>
        <v>0.98718300000000003</v>
      </c>
      <c r="H17" s="380">
        <f>VLOOKUP($A$12,TABLA_7[],10,FALSE)</f>
        <v>0</v>
      </c>
      <c r="I17" s="380">
        <f>VLOOKUP($A$12,TABLA_8[],10,FALSE)</f>
        <v>0</v>
      </c>
      <c r="J17" s="380">
        <f>VLOOKUP($A$12,TABLA_9[],10,FALSE)</f>
        <v>0</v>
      </c>
      <c r="K17" s="380">
        <f>VLOOKUP($A$12,TABLA_10[],10,FALSE)</f>
        <v>0</v>
      </c>
      <c r="L17" s="380">
        <f>VLOOKUP($A$12,TABLA_11[],10,FALSE)</f>
        <v>0</v>
      </c>
      <c r="M17" s="380">
        <f>VLOOKUP($A$12,TABLA_12[],10,FALSE)</f>
        <v>0</v>
      </c>
      <c r="N17" s="380">
        <f>VLOOKUP($A$12,TABLA_13[],10,FALSE)</f>
        <v>0</v>
      </c>
      <c r="O17" s="6"/>
      <c r="P17" s="4">
        <f>COS(ATAN(P15/P13))</f>
        <v>0.98718300000000003</v>
      </c>
    </row>
    <row r="18" spans="1:16" x14ac:dyDescent="0.25">
      <c r="A18" s="3" t="s">
        <v>17</v>
      </c>
      <c r="B18" s="37" t="e">
        <f>+B16/B13</f>
        <v>#DIV/0!</v>
      </c>
      <c r="C18" s="37" t="e">
        <f>+C16/C13</f>
        <v>#DIV/0!</v>
      </c>
      <c r="D18" s="37" t="e">
        <f t="shared" ref="D18:I18" si="2">+D16/D13</f>
        <v>#DIV/0!</v>
      </c>
      <c r="E18" s="37" t="e">
        <f t="shared" si="2"/>
        <v>#DIV/0!</v>
      </c>
      <c r="F18" s="37" t="e">
        <f>+F16/F13</f>
        <v>#DIV/0!</v>
      </c>
      <c r="G18" s="37">
        <f t="shared" si="2"/>
        <v>0.72181352040862867</v>
      </c>
      <c r="H18" s="37" t="e">
        <f t="shared" si="2"/>
        <v>#DIV/0!</v>
      </c>
      <c r="I18" s="37" t="e">
        <f t="shared" si="2"/>
        <v>#DIV/0!</v>
      </c>
      <c r="J18" s="37" t="e">
        <f>+J16/J13</f>
        <v>#DIV/0!</v>
      </c>
      <c r="K18" s="37" t="e">
        <f>+K16/K13</f>
        <v>#DIV/0!</v>
      </c>
      <c r="L18" s="37" t="e">
        <f>+L16/L13</f>
        <v>#DIV/0!</v>
      </c>
      <c r="M18" s="37" t="e">
        <f>+M16/M13</f>
        <v>#DIV/0!</v>
      </c>
      <c r="N18" s="37" t="e">
        <f>+N16/N13</f>
        <v>#DIV/0!</v>
      </c>
      <c r="O18" s="6"/>
      <c r="P18" s="4">
        <f>+P16/P13</f>
        <v>0.7458739710889164</v>
      </c>
    </row>
    <row r="19" spans="1:16" s="24" customFormat="1" x14ac:dyDescent="0.25">
      <c r="A19" s="271" t="s">
        <v>216</v>
      </c>
      <c r="B19" s="65"/>
      <c r="C19" s="65" t="s">
        <v>67</v>
      </c>
      <c r="D19" s="65" t="s">
        <v>67</v>
      </c>
      <c r="E19" s="65"/>
      <c r="F19" s="65"/>
      <c r="G19" s="265"/>
      <c r="H19" s="66"/>
      <c r="I19" s="66"/>
      <c r="J19" s="66"/>
      <c r="K19" s="50"/>
      <c r="L19" s="50"/>
      <c r="M19" s="50"/>
      <c r="N19" s="50"/>
      <c r="O19" s="50"/>
      <c r="P19" s="50"/>
    </row>
    <row r="20" spans="1:16" x14ac:dyDescent="0.25">
      <c r="A20" s="3" t="s">
        <v>6</v>
      </c>
      <c r="B20" s="380" t="e">
        <f>VLOOKUP($A$19,TABLA_1[],5,FALSE)</f>
        <v>#N/A</v>
      </c>
      <c r="C20" s="380" t="e">
        <f>VLOOKUP($A$19,TABLA_2[],5,FALSE)</f>
        <v>#N/A</v>
      </c>
      <c r="D20" s="380" t="e">
        <f>VLOOKUP($A$19,TABLA_3[],5,FALSE)</f>
        <v>#N/A</v>
      </c>
      <c r="E20" s="380" t="e">
        <f>VLOOKUP($A$19,TABLA_4[],5,FALSE)</f>
        <v>#N/A</v>
      </c>
      <c r="F20" s="380" t="e">
        <f>VLOOKUP($A$19,TABLA_5[],5,FALSE)</f>
        <v>#N/A</v>
      </c>
      <c r="G20" s="380" t="e">
        <f>VLOOKUP($A$19,TABLA_6[],5,FALSE)</f>
        <v>#N/A</v>
      </c>
      <c r="H20" s="380" t="e">
        <f>VLOOKUP($A$19,TABLA_7[],5,FALSE)</f>
        <v>#N/A</v>
      </c>
      <c r="I20" s="380" t="e">
        <f>VLOOKUP($A$19,TABLA_8[],5,FALSE)</f>
        <v>#N/A</v>
      </c>
      <c r="J20" s="380" t="e">
        <f>VLOOKUP($A$19,TABLA_9[],5,FALSE)</f>
        <v>#N/A</v>
      </c>
      <c r="K20" s="380" t="e">
        <f>VLOOKUP($A$19,TABLA_10[],5,FALSE)</f>
        <v>#N/A</v>
      </c>
      <c r="L20" s="380" t="e">
        <f>VLOOKUP($A$19,TABLA_11[],5,FALSE)</f>
        <v>#N/A</v>
      </c>
      <c r="M20" s="380" t="e">
        <f>VLOOKUP($A$19,TABLA_12[],5,FALSE)</f>
        <v>#N/A</v>
      </c>
      <c r="N20" s="380" t="e">
        <f>VLOOKUP($A$19,TABLA_13[],5,FALSE)</f>
        <v>#N/A</v>
      </c>
      <c r="O20" s="6"/>
      <c r="P20" s="43" t="e">
        <f>MAX(B20:N20)</f>
        <v>#N/A</v>
      </c>
    </row>
    <row r="21" spans="1:16" x14ac:dyDescent="0.25">
      <c r="A21" s="3" t="s">
        <v>7</v>
      </c>
      <c r="B21" s="380" t="e">
        <f>VLOOKUP($A$19,TABLA_1[],8,FALSE)</f>
        <v>#N/A</v>
      </c>
      <c r="C21" s="380" t="e">
        <f>VLOOKUP($A$19,TABLA_2[],8,FALSE)</f>
        <v>#N/A</v>
      </c>
      <c r="D21" s="380" t="e">
        <f>VLOOKUP($A$19,TABLA_3[],8,FALSE)</f>
        <v>#N/A</v>
      </c>
      <c r="E21" s="380" t="e">
        <f>VLOOKUP($A$19,TABLA_4[],8,FALSE)</f>
        <v>#N/A</v>
      </c>
      <c r="F21" s="380" t="e">
        <f>VLOOKUP($A$19,TABLA_5[],8,FALSE)</f>
        <v>#N/A</v>
      </c>
      <c r="G21" s="380" t="e">
        <f>VLOOKUP($A$19,TABLA_6[],8,FALSE)</f>
        <v>#N/A</v>
      </c>
      <c r="H21" s="380" t="e">
        <f>VLOOKUP($A$19,TABLA_7[],8,FALSE)</f>
        <v>#N/A</v>
      </c>
      <c r="I21" s="380" t="e">
        <f>VLOOKUP($A$19,TABLA_8[],8,FALSE)</f>
        <v>#N/A</v>
      </c>
      <c r="J21" s="380" t="e">
        <f>VLOOKUP($A$19,TABLA_9[],8,FALSE)</f>
        <v>#N/A</v>
      </c>
      <c r="K21" s="380" t="e">
        <f>VLOOKUP($A$19,TABLA_10[],8,FALSE)</f>
        <v>#N/A</v>
      </c>
      <c r="L21" s="380" t="e">
        <f>VLOOKUP($A$19,TABLA_11[],8,FALSE)</f>
        <v>#N/A</v>
      </c>
      <c r="M21" s="380" t="e">
        <f>VLOOKUP($A$19,TABLA_12[],8,FALSE)</f>
        <v>#N/A</v>
      </c>
      <c r="N21" s="380" t="e">
        <f>VLOOKUP($A$19,TABLA_13[],8,FALSE)</f>
        <v>#N/A</v>
      </c>
      <c r="O21" s="47" t="e">
        <f>SUM(H21:N21)</f>
        <v>#N/A</v>
      </c>
      <c r="P21" s="43" t="e">
        <f>SUM(B21:N21)/(COUNTIF(H21:N21,"&gt;0"))</f>
        <v>#N/A</v>
      </c>
    </row>
    <row r="22" spans="1:16" x14ac:dyDescent="0.25">
      <c r="A22" s="3" t="s">
        <v>16</v>
      </c>
      <c r="B22" s="37" t="e">
        <f>+((B20/B24)^2-(B20^2))^(0.5)</f>
        <v>#N/A</v>
      </c>
      <c r="C22" s="37" t="e">
        <f>+((C20/C24)^2-(C20^2))^(0.5)</f>
        <v>#N/A</v>
      </c>
      <c r="D22" s="37" t="e">
        <f t="shared" ref="D22:I22" si="3">+((D20/D24)^2-(D20^2))^(0.5)</f>
        <v>#N/A</v>
      </c>
      <c r="E22" s="37" t="e">
        <f t="shared" si="3"/>
        <v>#N/A</v>
      </c>
      <c r="F22" s="37" t="e">
        <f t="shared" si="3"/>
        <v>#N/A</v>
      </c>
      <c r="G22" s="37" t="e">
        <f>+((G20/G24)^2-(G20^2))^(0.5)</f>
        <v>#N/A</v>
      </c>
      <c r="H22" s="37" t="e">
        <f t="shared" si="3"/>
        <v>#N/A</v>
      </c>
      <c r="I22" s="37" t="e">
        <f t="shared" si="3"/>
        <v>#N/A</v>
      </c>
      <c r="J22" s="37" t="e">
        <f>+((J20/J24)^2-(J20^2))^(0.5)</f>
        <v>#N/A</v>
      </c>
      <c r="K22" s="37" t="e">
        <f>+((K20/K24)^2-(K20^2))^(0.5)</f>
        <v>#N/A</v>
      </c>
      <c r="L22" s="37" t="e">
        <f>+((L20/L24)^2-(L20^2))^(0.5)</f>
        <v>#N/A</v>
      </c>
      <c r="M22" s="37" t="e">
        <f>+((M20/M24)^2-(M20^2))^(0.5)</f>
        <v>#N/A</v>
      </c>
      <c r="N22" s="37" t="e">
        <f>+((N20/N24)^2-(N20^2))^(0.5)</f>
        <v>#N/A</v>
      </c>
      <c r="O22" s="37"/>
      <c r="P22" s="4" t="e">
        <f>HLOOKUP(P20,B20:N22,3,FALSE)</f>
        <v>#N/A</v>
      </c>
    </row>
    <row r="23" spans="1:16" x14ac:dyDescent="0.25">
      <c r="A23" s="3" t="s">
        <v>8</v>
      </c>
      <c r="B23" s="37" t="e">
        <f>+B21/(24*B$8)</f>
        <v>#N/A</v>
      </c>
      <c r="C23" s="37" t="e">
        <f>+C21/(24*C$8)</f>
        <v>#N/A</v>
      </c>
      <c r="D23" s="37" t="e">
        <f t="shared" ref="D23:I23" si="4">+D21/(24*D$8)</f>
        <v>#N/A</v>
      </c>
      <c r="E23" s="37" t="e">
        <f t="shared" si="4"/>
        <v>#N/A</v>
      </c>
      <c r="F23" s="37" t="e">
        <f t="shared" si="4"/>
        <v>#N/A</v>
      </c>
      <c r="G23" s="37" t="e">
        <f>+G21/(24*G$8)</f>
        <v>#N/A</v>
      </c>
      <c r="H23" s="37" t="e">
        <f t="shared" si="4"/>
        <v>#N/A</v>
      </c>
      <c r="I23" s="37" t="e">
        <f t="shared" si="4"/>
        <v>#N/A</v>
      </c>
      <c r="J23" s="37" t="e">
        <f>+J21/(24*J$8)</f>
        <v>#N/A</v>
      </c>
      <c r="K23" s="37" t="e">
        <f>+K21/(24*K$8)</f>
        <v>#N/A</v>
      </c>
      <c r="L23" s="37" t="e">
        <f>+L21/(24*L$8)</f>
        <v>#N/A</v>
      </c>
      <c r="M23" s="37" t="e">
        <f>+M21/(24*M$8)</f>
        <v>#N/A</v>
      </c>
      <c r="N23" s="37" t="e">
        <f>+N21/(24*N$8)</f>
        <v>#N/A</v>
      </c>
      <c r="O23" s="6" t="e">
        <f>SUM(O21)/(24*O$8)</f>
        <v>#N/A</v>
      </c>
      <c r="P23" s="4" t="e">
        <f>O21/(COUNTIF(H21:N21,"&gt;0")*720)</f>
        <v>#N/A</v>
      </c>
    </row>
    <row r="24" spans="1:16" x14ac:dyDescent="0.25">
      <c r="A24" s="3" t="s">
        <v>9</v>
      </c>
      <c r="B24" s="380" t="e">
        <f>VLOOKUP($A$19,TABLA_1[],10,FALSE)</f>
        <v>#N/A</v>
      </c>
      <c r="C24" s="380" t="e">
        <f>VLOOKUP($A$19,TABLA_2[],10,FALSE)</f>
        <v>#N/A</v>
      </c>
      <c r="D24" s="380" t="e">
        <f>VLOOKUP($A$19,TABLA_3[],10,FALSE)</f>
        <v>#N/A</v>
      </c>
      <c r="E24" s="380" t="e">
        <f>VLOOKUP($A$19,TABLA_4[],10,FALSE)</f>
        <v>#N/A</v>
      </c>
      <c r="F24" s="380" t="e">
        <f>VLOOKUP($A$19,TABLA_5[],10,FALSE)</f>
        <v>#N/A</v>
      </c>
      <c r="G24" s="380" t="e">
        <f>VLOOKUP($A$19,TABLA_6[],10,FALSE)</f>
        <v>#N/A</v>
      </c>
      <c r="H24" s="380" t="e">
        <f>VLOOKUP($A$19,TABLA_7[],10,FALSE)</f>
        <v>#N/A</v>
      </c>
      <c r="I24" s="380" t="e">
        <f>VLOOKUP($A$19,TABLA_8[],10,FALSE)</f>
        <v>#N/A</v>
      </c>
      <c r="J24" s="380" t="e">
        <f>VLOOKUP($A$19,TABLA_9[],10,FALSE)</f>
        <v>#N/A</v>
      </c>
      <c r="K24" s="380" t="e">
        <f>VLOOKUP($A$19,TABLA_10[],10,FALSE)</f>
        <v>#N/A</v>
      </c>
      <c r="L24" s="380" t="e">
        <f>VLOOKUP($A$19,TABLA_11[],10,FALSE)</f>
        <v>#N/A</v>
      </c>
      <c r="M24" s="380" t="e">
        <f>VLOOKUP($A$19,TABLA_12[],10,FALSE)</f>
        <v>#N/A</v>
      </c>
      <c r="N24" s="380" t="e">
        <f>VLOOKUP($A$19,TABLA_13[],10,FALSE)</f>
        <v>#N/A</v>
      </c>
      <c r="O24" s="6"/>
      <c r="P24" s="4" t="e">
        <f>COS(ATAN(P22/P20))</f>
        <v>#N/A</v>
      </c>
    </row>
    <row r="25" spans="1:16" x14ac:dyDescent="0.25">
      <c r="A25" s="3" t="s">
        <v>17</v>
      </c>
      <c r="B25" s="37" t="e">
        <f>+B23/B20</f>
        <v>#N/A</v>
      </c>
      <c r="C25" s="37" t="e">
        <f>+C23/C20</f>
        <v>#N/A</v>
      </c>
      <c r="D25" s="37" t="e">
        <f t="shared" ref="D25:I25" si="5">+D23/D20</f>
        <v>#N/A</v>
      </c>
      <c r="E25" s="37" t="e">
        <f t="shared" si="5"/>
        <v>#N/A</v>
      </c>
      <c r="F25" s="37" t="e">
        <f t="shared" si="5"/>
        <v>#N/A</v>
      </c>
      <c r="G25" s="37" t="e">
        <f>+G23/G20</f>
        <v>#N/A</v>
      </c>
      <c r="H25" s="37" t="e">
        <f t="shared" si="5"/>
        <v>#N/A</v>
      </c>
      <c r="I25" s="37" t="e">
        <f t="shared" si="5"/>
        <v>#N/A</v>
      </c>
      <c r="J25" s="37" t="e">
        <f>+J23/J20</f>
        <v>#N/A</v>
      </c>
      <c r="K25" s="37" t="e">
        <f>+K23/K20</f>
        <v>#N/A</v>
      </c>
      <c r="L25" s="37" t="e">
        <f>+L23/L20</f>
        <v>#N/A</v>
      </c>
      <c r="M25" s="37" t="e">
        <f>+M23/M20</f>
        <v>#N/A</v>
      </c>
      <c r="N25" s="37" t="e">
        <f>+N23/N20</f>
        <v>#N/A</v>
      </c>
      <c r="O25" s="6"/>
      <c r="P25" s="4" t="e">
        <f>+P23/P20</f>
        <v>#N/A</v>
      </c>
    </row>
    <row r="26" spans="1:16" s="24" customFormat="1" x14ac:dyDescent="0.25">
      <c r="A26" s="271" t="s">
        <v>217</v>
      </c>
      <c r="B26" s="65"/>
      <c r="C26" s="65"/>
      <c r="D26" s="65"/>
      <c r="E26" s="65"/>
      <c r="F26" s="65"/>
      <c r="G26" s="265"/>
      <c r="H26" s="66"/>
      <c r="I26" s="66"/>
      <c r="J26" s="66"/>
      <c r="K26" s="50"/>
      <c r="L26" s="50"/>
      <c r="M26" s="50"/>
      <c r="N26" s="50"/>
      <c r="O26" s="50"/>
      <c r="P26" s="50"/>
    </row>
    <row r="27" spans="1:16" x14ac:dyDescent="0.25">
      <c r="A27" s="3" t="s">
        <v>6</v>
      </c>
      <c r="B27" s="380">
        <f>VLOOKUP($A$26,TABLA_1[],5,FALSE)</f>
        <v>0</v>
      </c>
      <c r="C27" s="380">
        <f>VLOOKUP($A$26,TABLA_2[],5,FALSE)</f>
        <v>0</v>
      </c>
      <c r="D27" s="380">
        <f>VLOOKUP($A$26,TABLA_3[],5,FALSE)</f>
        <v>0</v>
      </c>
      <c r="E27" s="380">
        <f>VLOOKUP($A$26,TABLA_4[],5,FALSE)</f>
        <v>0</v>
      </c>
      <c r="F27" s="380">
        <f>VLOOKUP($A$26,TABLA_5[],5,FALSE)</f>
        <v>0</v>
      </c>
      <c r="G27" s="380">
        <f>VLOOKUP($A$26,TABLA_6[],5,FALSE)</f>
        <v>2702.3500159999999</v>
      </c>
      <c r="H27" s="380">
        <f>VLOOKUP($A$26,TABLA_7[],5,FALSE)</f>
        <v>0</v>
      </c>
      <c r="I27" s="380">
        <f>VLOOKUP($A$26,TABLA_8[],5,FALSE)</f>
        <v>0</v>
      </c>
      <c r="J27" s="380">
        <f>VLOOKUP($A$26,TABLA_9[],5,FALSE)</f>
        <v>0</v>
      </c>
      <c r="K27" s="380">
        <f>VLOOKUP($A$26,TABLA_10[],5,FALSE)</f>
        <v>0</v>
      </c>
      <c r="L27" s="380">
        <f>VLOOKUP($A$26,TABLA_11[],5,FALSE)</f>
        <v>0</v>
      </c>
      <c r="M27" s="380">
        <f>VLOOKUP($A$26,TABLA_12[],5,FALSE)</f>
        <v>0</v>
      </c>
      <c r="N27" s="380">
        <f>VLOOKUP($A$26,TABLA_13[],5,FALSE)</f>
        <v>0</v>
      </c>
      <c r="O27" s="6"/>
      <c r="P27" s="43">
        <f>MAX(B27:N27)</f>
        <v>2702.3500159999999</v>
      </c>
    </row>
    <row r="28" spans="1:16" x14ac:dyDescent="0.25">
      <c r="A28" s="3" t="s">
        <v>7</v>
      </c>
      <c r="B28" s="380">
        <f>VLOOKUP($A$26,TABLA_1[],8,FALSE)</f>
        <v>0</v>
      </c>
      <c r="C28" s="380">
        <f>VLOOKUP($A$26,TABLA_2[],8,FALSE)</f>
        <v>0</v>
      </c>
      <c r="D28" s="380">
        <f>VLOOKUP($A$26,TABLA_3[],8,FALSE)</f>
        <v>0</v>
      </c>
      <c r="E28" s="380">
        <f>VLOOKUP($A$26,TABLA_4[],8,FALSE)</f>
        <v>0</v>
      </c>
      <c r="F28" s="380">
        <f>VLOOKUP($A$26,TABLA_5[],8,FALSE)</f>
        <v>0</v>
      </c>
      <c r="G28" s="380">
        <f>VLOOKUP($A$26,TABLA_6[],8,FALSE)</f>
        <v>1286343.5310470001</v>
      </c>
      <c r="H28" s="380">
        <f>VLOOKUP($A$26,TABLA_7[],8,FALSE)</f>
        <v>0</v>
      </c>
      <c r="I28" s="380">
        <f>VLOOKUP($A$26,TABLA_8[],8,FALSE)</f>
        <v>0</v>
      </c>
      <c r="J28" s="380">
        <f>VLOOKUP($A$26,TABLA_9[],8,FALSE)</f>
        <v>0</v>
      </c>
      <c r="K28" s="380">
        <f>VLOOKUP($A$26,TABLA_10[],8,FALSE)</f>
        <v>0</v>
      </c>
      <c r="L28" s="380">
        <f>VLOOKUP($A$26,TABLA_11[],8,FALSE)</f>
        <v>0</v>
      </c>
      <c r="M28" s="380">
        <f>VLOOKUP($A$26,TABLA_12[],8,FALSE)</f>
        <v>0</v>
      </c>
      <c r="N28" s="380">
        <f>VLOOKUP($A$26,TABLA_13[],8,FALSE)</f>
        <v>0</v>
      </c>
      <c r="O28" s="47">
        <f>SUM(B28:N28)</f>
        <v>1286343.5310470001</v>
      </c>
      <c r="P28" s="43">
        <f>SUM(B28:N28)/(COUNTIF(B28:N28,"&gt;0"))</f>
        <v>1286343.5310470001</v>
      </c>
    </row>
    <row r="29" spans="1:16" x14ac:dyDescent="0.25">
      <c r="A29" s="3" t="s">
        <v>16</v>
      </c>
      <c r="B29" s="37" t="e">
        <f>+((B27/B31)^2-(B27^2))^(0.5)</f>
        <v>#DIV/0!</v>
      </c>
      <c r="C29" s="37" t="e">
        <f>+((C27/C31)^2-(C27^2))^(0.5)</f>
        <v>#DIV/0!</v>
      </c>
      <c r="D29" s="37" t="e">
        <f t="shared" ref="D29:I29" si="6">+((D27/D31)^2-(D27^2))^(0.5)</f>
        <v>#DIV/0!</v>
      </c>
      <c r="E29" s="37" t="e">
        <f t="shared" si="6"/>
        <v>#DIV/0!</v>
      </c>
      <c r="F29" s="37" t="e">
        <f t="shared" si="6"/>
        <v>#DIV/0!</v>
      </c>
      <c r="G29" s="37">
        <f>+((G27/G31)^2-(G27^2))^(0.5)</f>
        <v>90.959744484662124</v>
      </c>
      <c r="H29" s="37" t="e">
        <f t="shared" si="6"/>
        <v>#DIV/0!</v>
      </c>
      <c r="I29" s="37" t="e">
        <f t="shared" si="6"/>
        <v>#DIV/0!</v>
      </c>
      <c r="J29" s="37" t="e">
        <f>+((J27/J31)^2-(J27^2))^(0.5)</f>
        <v>#DIV/0!</v>
      </c>
      <c r="K29" s="37" t="e">
        <f>+((K27/K31)^2-(K27^2))^(0.5)</f>
        <v>#DIV/0!</v>
      </c>
      <c r="L29" s="37" t="e">
        <f>+((L27/L31)^2-(L27^2))^(0.5)</f>
        <v>#DIV/0!</v>
      </c>
      <c r="M29" s="37" t="e">
        <f>+((M27/M31)^2-(M27^2))^(0.5)</f>
        <v>#DIV/0!</v>
      </c>
      <c r="N29" s="37" t="e">
        <f>+((N27/N31)^2-(N27^2))^(0.5)</f>
        <v>#DIV/0!</v>
      </c>
      <c r="O29" s="37"/>
      <c r="P29" s="4">
        <f>HLOOKUP(P27,B27:N29,3,FALSE)</f>
        <v>90.959744484662124</v>
      </c>
    </row>
    <row r="30" spans="1:16" x14ac:dyDescent="0.25">
      <c r="A30" s="3" t="s">
        <v>8</v>
      </c>
      <c r="B30" s="37">
        <f>+B28/(24*B$8)</f>
        <v>0</v>
      </c>
      <c r="C30" s="37">
        <f>+C28/(24*C$8)</f>
        <v>0</v>
      </c>
      <c r="D30" s="37">
        <f t="shared" ref="D30:I30" si="7">+D28/(24*D$8)</f>
        <v>0</v>
      </c>
      <c r="E30" s="37">
        <f t="shared" si="7"/>
        <v>0</v>
      </c>
      <c r="F30" s="37">
        <f t="shared" si="7"/>
        <v>0</v>
      </c>
      <c r="G30" s="37">
        <f>+G28/(24*G$8)</f>
        <v>1728.9563589341399</v>
      </c>
      <c r="H30" s="37">
        <f t="shared" si="7"/>
        <v>0</v>
      </c>
      <c r="I30" s="37">
        <f t="shared" si="7"/>
        <v>0</v>
      </c>
      <c r="J30" s="37">
        <f>+J28/(24*J$8)</f>
        <v>0</v>
      </c>
      <c r="K30" s="37">
        <f>+K28/(24*K$8)</f>
        <v>0</v>
      </c>
      <c r="L30" s="37">
        <f>+L28/(24*L$8)</f>
        <v>0</v>
      </c>
      <c r="M30" s="37">
        <f>+M28/(24*M$8)</f>
        <v>0</v>
      </c>
      <c r="N30" s="37">
        <f>+N28/(24*N$8)</f>
        <v>0</v>
      </c>
      <c r="O30" s="6">
        <f>SUM(O28)/(24*O$8)</f>
        <v>146.84286884098174</v>
      </c>
      <c r="P30" s="4">
        <f>O28/(COUNTIF(B28:N28,"&gt;0")*720)</f>
        <v>1786.588237565278</v>
      </c>
    </row>
    <row r="31" spans="1:16" x14ac:dyDescent="0.25">
      <c r="A31" s="3" t="s">
        <v>9</v>
      </c>
      <c r="B31" s="380">
        <f>VLOOKUP($A$26,TABLA_1[],10,FALSE)</f>
        <v>0</v>
      </c>
      <c r="C31" s="380">
        <f>VLOOKUP($A$26,TABLA_2[],10,FALSE)</f>
        <v>0</v>
      </c>
      <c r="D31" s="380">
        <f>VLOOKUP($A$26,TABLA_3[],10,FALSE)</f>
        <v>0</v>
      </c>
      <c r="E31" s="380">
        <f>VLOOKUP($A$26,TABLA_4[],10,FALSE)</f>
        <v>0</v>
      </c>
      <c r="F31" s="380">
        <f>VLOOKUP($A$26,TABLA_5[],10,FALSE)</f>
        <v>0</v>
      </c>
      <c r="G31" s="380">
        <f>VLOOKUP($A$26,TABLA_6[],10,FALSE)</f>
        <v>0.99943400000000004</v>
      </c>
      <c r="H31" s="380">
        <f>VLOOKUP($A$26,TABLA_7[],10,FALSE)</f>
        <v>0</v>
      </c>
      <c r="I31" s="380">
        <f>VLOOKUP($A$26,TABLA_8[],10,FALSE)</f>
        <v>0</v>
      </c>
      <c r="J31" s="380">
        <f>VLOOKUP($A$26,TABLA_9[],10,FALSE)</f>
        <v>0</v>
      </c>
      <c r="K31" s="380">
        <f>VLOOKUP($A$26,TABLA_10[],10,FALSE)</f>
        <v>0</v>
      </c>
      <c r="L31" s="380">
        <f>VLOOKUP($A$26,TABLA_11[],10,FALSE)</f>
        <v>0</v>
      </c>
      <c r="M31" s="380">
        <f>VLOOKUP($A$26,TABLA_12[],10,FALSE)</f>
        <v>0</v>
      </c>
      <c r="N31" s="380">
        <f>VLOOKUP($A$26,TABLA_13[],10,FALSE)</f>
        <v>0</v>
      </c>
      <c r="O31" s="6"/>
      <c r="P31" s="4">
        <f>COS(ATAN(P29/P27))</f>
        <v>0.99943400000000004</v>
      </c>
    </row>
    <row r="32" spans="1:16" x14ac:dyDescent="0.25">
      <c r="A32" s="3" t="s">
        <v>17</v>
      </c>
      <c r="B32" s="37" t="e">
        <f>+B30/B27</f>
        <v>#DIV/0!</v>
      </c>
      <c r="C32" s="37" t="e">
        <f>+C30/C27</f>
        <v>#DIV/0!</v>
      </c>
      <c r="D32" s="37" t="e">
        <f t="shared" ref="D32:I32" si="8">+D30/D27</f>
        <v>#DIV/0!</v>
      </c>
      <c r="E32" s="37" t="e">
        <f t="shared" si="8"/>
        <v>#DIV/0!</v>
      </c>
      <c r="F32" s="37" t="e">
        <f t="shared" si="8"/>
        <v>#DIV/0!</v>
      </c>
      <c r="G32" s="37">
        <f>+G30/G27</f>
        <v>0.6397973425712371</v>
      </c>
      <c r="H32" s="37" t="e">
        <f t="shared" si="8"/>
        <v>#DIV/0!</v>
      </c>
      <c r="I32" s="37" t="e">
        <f t="shared" si="8"/>
        <v>#DIV/0!</v>
      </c>
      <c r="J32" s="37" t="e">
        <f>+J30/J27</f>
        <v>#DIV/0!</v>
      </c>
      <c r="K32" s="37" t="e">
        <f>+K30/K27</f>
        <v>#DIV/0!</v>
      </c>
      <c r="L32" s="37" t="e">
        <f>+L30/L27</f>
        <v>#DIV/0!</v>
      </c>
      <c r="M32" s="37" t="e">
        <f>+M30/M27</f>
        <v>#DIV/0!</v>
      </c>
      <c r="N32" s="37" t="e">
        <f>+N30/N27</f>
        <v>#DIV/0!</v>
      </c>
      <c r="O32" s="6"/>
      <c r="P32" s="4">
        <f>+P30/P27</f>
        <v>0.66112392065694503</v>
      </c>
    </row>
    <row r="33" spans="1:18" s="48" customFormat="1" x14ac:dyDescent="0.25">
      <c r="B33" s="91"/>
      <c r="C33" s="91"/>
      <c r="D33" s="91"/>
      <c r="E33" s="91"/>
      <c r="F33" s="91"/>
      <c r="G33" s="64"/>
      <c r="H33" s="64"/>
      <c r="I33" s="64"/>
      <c r="J33" s="64"/>
      <c r="K33" s="64"/>
      <c r="L33" s="64"/>
      <c r="M33" s="64"/>
      <c r="N33" s="64"/>
      <c r="O33" s="64"/>
    </row>
    <row r="34" spans="1:18" s="48" customFormat="1" x14ac:dyDescent="0.25">
      <c r="B34" s="91"/>
      <c r="C34" s="91"/>
      <c r="D34" s="91"/>
      <c r="E34" s="91"/>
      <c r="F34" s="91"/>
      <c r="G34" s="64"/>
      <c r="H34" s="64"/>
      <c r="I34" s="64"/>
      <c r="J34" s="64"/>
      <c r="K34" s="64"/>
      <c r="L34" s="64"/>
      <c r="M34" s="64"/>
      <c r="N34" s="64"/>
      <c r="O34" s="64"/>
    </row>
    <row r="35" spans="1:18" x14ac:dyDescent="0.25">
      <c r="A35" s="7" t="s">
        <v>10</v>
      </c>
      <c r="B35" s="72"/>
      <c r="C35" s="72"/>
      <c r="D35" s="72"/>
      <c r="E35" s="72"/>
      <c r="F35" s="72"/>
      <c r="G35" s="73"/>
      <c r="H35" s="73"/>
      <c r="I35" s="73"/>
      <c r="J35" s="73"/>
      <c r="K35" s="73"/>
      <c r="L35" s="53"/>
      <c r="M35" s="53"/>
      <c r="N35" s="53"/>
      <c r="O35" s="53"/>
      <c r="P35" s="8"/>
    </row>
    <row r="36" spans="1:18" x14ac:dyDescent="0.25">
      <c r="A36" s="9" t="s">
        <v>11</v>
      </c>
      <c r="B36" s="62" t="e">
        <f>+B13+B20+B27</f>
        <v>#N/A</v>
      </c>
      <c r="C36" s="62" t="e">
        <f>C13+C20+C27</f>
        <v>#N/A</v>
      </c>
      <c r="D36" s="62" t="e">
        <f t="shared" ref="D36:K37" si="9">D13+D20+D27</f>
        <v>#N/A</v>
      </c>
      <c r="E36" s="62" t="e">
        <f t="shared" si="9"/>
        <v>#N/A</v>
      </c>
      <c r="F36" s="62" t="e">
        <f t="shared" si="9"/>
        <v>#N/A</v>
      </c>
      <c r="G36" s="62" t="e">
        <f>G13+G20+G27</f>
        <v>#N/A</v>
      </c>
      <c r="H36" s="62" t="e">
        <f t="shared" si="9"/>
        <v>#N/A</v>
      </c>
      <c r="I36" s="62" t="e">
        <f t="shared" si="9"/>
        <v>#N/A</v>
      </c>
      <c r="J36" s="62" t="e">
        <f t="shared" si="9"/>
        <v>#N/A</v>
      </c>
      <c r="K36" s="62" t="e">
        <f t="shared" si="9"/>
        <v>#N/A</v>
      </c>
      <c r="L36" s="62" t="e">
        <f t="shared" ref="J36:M37" si="10">L13+L20+L27</f>
        <v>#N/A</v>
      </c>
      <c r="M36" s="62" t="e">
        <f t="shared" si="10"/>
        <v>#N/A</v>
      </c>
      <c r="N36" s="62" t="e">
        <f>+N13+N20+N27</f>
        <v>#N/A</v>
      </c>
      <c r="O36" s="54"/>
      <c r="P36" s="42" t="e">
        <f>MAX(B36:N36)</f>
        <v>#N/A</v>
      </c>
    </row>
    <row r="37" spans="1:18" x14ac:dyDescent="0.25">
      <c r="A37" s="9" t="s">
        <v>7</v>
      </c>
      <c r="B37" s="62" t="e">
        <f>+B14+B21+B28</f>
        <v>#N/A</v>
      </c>
      <c r="C37" s="62" t="e">
        <f>C14+C21+C28</f>
        <v>#N/A</v>
      </c>
      <c r="D37" s="62" t="e">
        <f t="shared" si="9"/>
        <v>#N/A</v>
      </c>
      <c r="E37" s="62" t="e">
        <f t="shared" si="9"/>
        <v>#N/A</v>
      </c>
      <c r="F37" s="62" t="e">
        <f t="shared" si="9"/>
        <v>#N/A</v>
      </c>
      <c r="G37" s="62" t="e">
        <f>G14+G21+G28</f>
        <v>#N/A</v>
      </c>
      <c r="H37" s="62" t="e">
        <f t="shared" si="9"/>
        <v>#N/A</v>
      </c>
      <c r="I37" s="62" t="e">
        <f t="shared" si="9"/>
        <v>#N/A</v>
      </c>
      <c r="J37" s="62" t="e">
        <f t="shared" si="10"/>
        <v>#N/A</v>
      </c>
      <c r="K37" s="62" t="e">
        <f t="shared" si="10"/>
        <v>#N/A</v>
      </c>
      <c r="L37" s="62" t="e">
        <f t="shared" si="10"/>
        <v>#N/A</v>
      </c>
      <c r="M37" s="62" t="e">
        <f t="shared" si="10"/>
        <v>#N/A</v>
      </c>
      <c r="N37" s="62" t="e">
        <f>+N14+N21+N28</f>
        <v>#N/A</v>
      </c>
      <c r="O37" s="62" t="e">
        <f>SUM(B37:N37)</f>
        <v>#N/A</v>
      </c>
      <c r="P37" s="42"/>
    </row>
    <row r="38" spans="1:18" x14ac:dyDescent="0.25">
      <c r="A38" s="272" t="s">
        <v>12</v>
      </c>
      <c r="B38" s="376" t="s">
        <v>477</v>
      </c>
      <c r="C38" s="246"/>
      <c r="D38" s="246"/>
      <c r="E38" s="246"/>
      <c r="F38" s="246"/>
      <c r="G38" s="247"/>
      <c r="H38" s="247"/>
      <c r="I38" s="247"/>
      <c r="J38" s="247"/>
      <c r="K38" s="36"/>
      <c r="L38" s="36"/>
      <c r="M38" s="36"/>
      <c r="N38" s="36"/>
      <c r="O38" s="47"/>
      <c r="P38" s="43"/>
    </row>
    <row r="39" spans="1:18" x14ac:dyDescent="0.25">
      <c r="A39" s="3" t="s">
        <v>6</v>
      </c>
      <c r="B39" s="380">
        <f>VLOOKUP($B$38,BancoTabla_1[],5,FALSE)</f>
        <v>0</v>
      </c>
      <c r="C39" s="380">
        <f>VLOOKUP($B$38,BancoTabla_2[],5,FALSE)</f>
        <v>0</v>
      </c>
      <c r="D39" s="380">
        <f>VLOOKUP($B$38,BancoTabla_3[],5,FALSE)</f>
        <v>0</v>
      </c>
      <c r="E39" s="380">
        <f>VLOOKUP($B$38,BancoTabla_4[],5,FALSE)</f>
        <v>0</v>
      </c>
      <c r="F39" s="380">
        <f>VLOOKUP($B$38,BancoTabla_5[],5,FALSE)</f>
        <v>0</v>
      </c>
      <c r="G39" s="380">
        <f>VLOOKUP($B$38,BancoTabla_6[],5,FALSE)</f>
        <v>9781.9233390000009</v>
      </c>
      <c r="H39" s="380">
        <f>VLOOKUP($B$38,BancoTabla_7[],5,FALSE)</f>
        <v>0</v>
      </c>
      <c r="I39" s="380">
        <f>VLOOKUP($B$38,BancoTabla_8[],5,FALSE)</f>
        <v>0</v>
      </c>
      <c r="J39" s="380">
        <f>VLOOKUP($B$38,BancoTabla_9[],5,FALSE)</f>
        <v>0</v>
      </c>
      <c r="K39" s="380">
        <f>VLOOKUP($B$38,BancoTabla_10[],5,FALSE)</f>
        <v>0</v>
      </c>
      <c r="L39" s="380">
        <f>VLOOKUP($B$38,BancoTabla_11[],5,FALSE)</f>
        <v>0</v>
      </c>
      <c r="M39" s="380">
        <f>VLOOKUP($B$38,BancoTabla_12[],5,FALSE)</f>
        <v>0</v>
      </c>
      <c r="N39" s="380">
        <f>VLOOKUP($B$38,BancoTabla_13[],5,FALSE)</f>
        <v>0</v>
      </c>
      <c r="O39" s="79"/>
      <c r="P39" s="43">
        <f>MAX(B39:N39)</f>
        <v>9781.9233390000009</v>
      </c>
      <c r="Q39" s="334">
        <f>P39/1000</f>
        <v>9.7819233390000004</v>
      </c>
    </row>
    <row r="40" spans="1:18" x14ac:dyDescent="0.25">
      <c r="A40" s="3" t="s">
        <v>7</v>
      </c>
      <c r="B40" s="380">
        <f>VLOOKUP($B$38,BancoTabla_1[],8,FALSE)</f>
        <v>0</v>
      </c>
      <c r="C40" s="380">
        <f>VLOOKUP($B$38,BancoTabla_2[],8,FALSE)</f>
        <v>0</v>
      </c>
      <c r="D40" s="380">
        <f>VLOOKUP($B$38,BancoTabla_3[],8,FALSE)</f>
        <v>0</v>
      </c>
      <c r="E40" s="380">
        <f>VLOOKUP($B$38,BancoTabla_4[],8,FALSE)</f>
        <v>0</v>
      </c>
      <c r="F40" s="380">
        <f>VLOOKUP($B$38,BancoTabla_5[],8,FALSE)</f>
        <v>0</v>
      </c>
      <c r="G40" s="380">
        <f>VLOOKUP($B$38,BancoTabla_6[],8,FALSE)</f>
        <v>5102386.0927769998</v>
      </c>
      <c r="H40" s="380">
        <f>VLOOKUP($B$38,BancoTabla_7[],8,FALSE)</f>
        <v>0</v>
      </c>
      <c r="I40" s="380">
        <f>VLOOKUP($B$38,BancoTabla_8[],8,FALSE)</f>
        <v>0</v>
      </c>
      <c r="J40" s="380">
        <f>VLOOKUP($B$38,BancoTabla_9[],8,FALSE)</f>
        <v>0</v>
      </c>
      <c r="K40" s="380">
        <f>VLOOKUP($B$38,BancoTabla_10[],8,FALSE)</f>
        <v>0</v>
      </c>
      <c r="L40" s="380">
        <f>VLOOKUP($B$38,BancoTabla_11[],8,FALSE)</f>
        <v>0</v>
      </c>
      <c r="M40" s="380">
        <f>VLOOKUP($B$38,BancoTabla_12[],8,FALSE)</f>
        <v>0</v>
      </c>
      <c r="N40" s="380">
        <f>VLOOKUP($B$38,BancoTabla_13[],8,FALSE)</f>
        <v>0</v>
      </c>
      <c r="O40" s="47">
        <f>SUM(B40:N40)</f>
        <v>5102386.0927769998</v>
      </c>
      <c r="P40" s="4">
        <f>SUM(B40:N40)/(COUNTIF(B40:N40,"&gt;0"))</f>
        <v>5102386.0927769998</v>
      </c>
      <c r="R40" s="39"/>
    </row>
    <row r="41" spans="1:18" x14ac:dyDescent="0.25">
      <c r="A41" s="3" t="s">
        <v>16</v>
      </c>
      <c r="B41" s="37" t="e">
        <f>+((B39/B43)^2-(B39^2))^(0.5)</f>
        <v>#DIV/0!</v>
      </c>
      <c r="C41" s="37" t="e">
        <f>+((C39/C43)^2-(C39^2))^(0.5)</f>
        <v>#DIV/0!</v>
      </c>
      <c r="D41" s="37" t="e">
        <f t="shared" ref="D41:I41" si="11">+((D39/D43)^2-(D39^2))^(0.5)</f>
        <v>#DIV/0!</v>
      </c>
      <c r="E41" s="37" t="e">
        <f t="shared" si="11"/>
        <v>#DIV/0!</v>
      </c>
      <c r="F41" s="37" t="e">
        <f t="shared" si="11"/>
        <v>#DIV/0!</v>
      </c>
      <c r="G41" s="37">
        <f t="shared" si="11"/>
        <v>1036.4994201432537</v>
      </c>
      <c r="H41" s="37" t="e">
        <f t="shared" si="11"/>
        <v>#DIV/0!</v>
      </c>
      <c r="I41" s="37" t="e">
        <f t="shared" si="11"/>
        <v>#DIV/0!</v>
      </c>
      <c r="J41" s="37" t="e">
        <f>+((J39/J43)^2-(J39^2))^(0.5)</f>
        <v>#DIV/0!</v>
      </c>
      <c r="K41" s="37" t="e">
        <f>+((K39/K43)^2-(K39^2))^(0.5)</f>
        <v>#DIV/0!</v>
      </c>
      <c r="L41" s="37" t="e">
        <f>+((L39/L43)^2-(L39^2))^(0.5)</f>
        <v>#DIV/0!</v>
      </c>
      <c r="M41" s="37" t="e">
        <f>+((M39/M43)^2-(M39^2))^(0.5)</f>
        <v>#DIV/0!</v>
      </c>
      <c r="N41" s="37" t="e">
        <f>+((N39/N43)^2-(N39^2))^(0.5)</f>
        <v>#DIV/0!</v>
      </c>
      <c r="O41" s="37"/>
      <c r="P41" s="4">
        <f>HLOOKUP(P39,B39:N41,3,FALSE)</f>
        <v>1036.4994201432537</v>
      </c>
    </row>
    <row r="42" spans="1:18" x14ac:dyDescent="0.25">
      <c r="A42" s="3" t="s">
        <v>8</v>
      </c>
      <c r="B42" s="37">
        <f>+B40/(24*B$8)</f>
        <v>0</v>
      </c>
      <c r="C42" s="37">
        <f>+C40/(24*C$8)</f>
        <v>0</v>
      </c>
      <c r="D42" s="37">
        <f t="shared" ref="D42:I42" si="12">+D40/(24*D$8)</f>
        <v>0</v>
      </c>
      <c r="E42" s="37">
        <f t="shared" si="12"/>
        <v>0</v>
      </c>
      <c r="F42" s="37">
        <f>+F40/(24*F$8)</f>
        <v>0</v>
      </c>
      <c r="G42" s="37">
        <f t="shared" si="12"/>
        <v>6858.0458236249997</v>
      </c>
      <c r="H42" s="37">
        <f t="shared" si="12"/>
        <v>0</v>
      </c>
      <c r="I42" s="37">
        <f t="shared" si="12"/>
        <v>0</v>
      </c>
      <c r="J42" s="37">
        <f>+J40/(24*J$8)</f>
        <v>0</v>
      </c>
      <c r="K42" s="37">
        <f>+K40/(24*K$8)</f>
        <v>0</v>
      </c>
      <c r="L42" s="37">
        <f>+L40/(24*L$8)</f>
        <v>0</v>
      </c>
      <c r="M42" s="37">
        <f>+M40/(24*M$8)</f>
        <v>0</v>
      </c>
      <c r="N42" s="37">
        <f>+N40/(24*N$8)</f>
        <v>0</v>
      </c>
      <c r="O42" s="6">
        <f>SUM(O40)/(24*O$8)</f>
        <v>582.46416584212329</v>
      </c>
      <c r="P42" s="4">
        <f>O40/(COUNTIF(B40:N40,"&gt;0")*720)</f>
        <v>7086.6473510791666</v>
      </c>
    </row>
    <row r="43" spans="1:18" x14ac:dyDescent="0.25">
      <c r="A43" s="3" t="s">
        <v>9</v>
      </c>
      <c r="B43" s="380">
        <f>VLOOKUP($B$38,BancoTabla_1[],10,FALSE)</f>
        <v>0</v>
      </c>
      <c r="C43" s="380">
        <f>VLOOKUP($B$38,BancoTabla_2[],10,FALSE)</f>
        <v>0</v>
      </c>
      <c r="D43" s="380">
        <f>VLOOKUP($B$38,BancoTabla_3[],10,FALSE)</f>
        <v>0</v>
      </c>
      <c r="E43" s="380">
        <f>VLOOKUP($B$38,BancoTabla_4[],10,FALSE)</f>
        <v>0</v>
      </c>
      <c r="F43" s="380">
        <f>VLOOKUP($B$38,BancoTabla_5[],10,FALSE)</f>
        <v>0</v>
      </c>
      <c r="G43" s="380">
        <f>VLOOKUP($B$38,BancoTabla_6[],10,FALSE)</f>
        <v>0.99443300000000001</v>
      </c>
      <c r="H43" s="380">
        <f>VLOOKUP($B$38,BancoTabla_7[],10,FALSE)</f>
        <v>0</v>
      </c>
      <c r="I43" s="380">
        <f>VLOOKUP($B$38,BancoTabla_8[],10,FALSE)</f>
        <v>0</v>
      </c>
      <c r="J43" s="380">
        <f>VLOOKUP($B$38,BancoTabla_9[],10,FALSE)</f>
        <v>0</v>
      </c>
      <c r="K43" s="380">
        <f>VLOOKUP($B$38,BancoTabla_10[],10,FALSE)</f>
        <v>0</v>
      </c>
      <c r="L43" s="380">
        <f>VLOOKUP($B$38,BancoTabla_11[],10,FALSE)</f>
        <v>0</v>
      </c>
      <c r="M43" s="380">
        <f>VLOOKUP($B$38,BancoTabla_12[],10,FALSE)</f>
        <v>0</v>
      </c>
      <c r="N43" s="380">
        <f>VLOOKUP($B$38,BancoTabla_13[],10,FALSE)</f>
        <v>0</v>
      </c>
      <c r="O43" s="6"/>
      <c r="P43" s="4">
        <f>COS(ATAN(P41/P39))</f>
        <v>0.99443300000000001</v>
      </c>
    </row>
    <row r="44" spans="1:18" x14ac:dyDescent="0.25">
      <c r="A44" s="3" t="s">
        <v>17</v>
      </c>
      <c r="B44" s="37" t="e">
        <f>+B42/B39</f>
        <v>#DIV/0!</v>
      </c>
      <c r="C44" s="37" t="e">
        <f>+C42/C39</f>
        <v>#DIV/0!</v>
      </c>
      <c r="D44" s="37" t="e">
        <f t="shared" ref="D44:I44" si="13">+D42/D39</f>
        <v>#DIV/0!</v>
      </c>
      <c r="E44" s="37" t="e">
        <f t="shared" si="13"/>
        <v>#DIV/0!</v>
      </c>
      <c r="F44" s="37" t="e">
        <f>+F42/F39</f>
        <v>#DIV/0!</v>
      </c>
      <c r="G44" s="37">
        <f t="shared" si="13"/>
        <v>0.70109380189909487</v>
      </c>
      <c r="H44" s="37" t="e">
        <f t="shared" si="13"/>
        <v>#DIV/0!</v>
      </c>
      <c r="I44" s="37" t="e">
        <f t="shared" si="13"/>
        <v>#DIV/0!</v>
      </c>
      <c r="J44" s="37" t="e">
        <f>+J42/J39</f>
        <v>#DIV/0!</v>
      </c>
      <c r="K44" s="37" t="e">
        <f>+K42/K39</f>
        <v>#DIV/0!</v>
      </c>
      <c r="L44" s="37" t="e">
        <f>+L42/L39</f>
        <v>#DIV/0!</v>
      </c>
      <c r="M44" s="37" t="e">
        <f>+M42/M39</f>
        <v>#DIV/0!</v>
      </c>
      <c r="N44" s="37" t="e">
        <f>+N42/N39</f>
        <v>#DIV/0!</v>
      </c>
      <c r="O44" s="6"/>
      <c r="P44" s="4">
        <f>+P42/P39</f>
        <v>0.72446359529573146</v>
      </c>
    </row>
    <row r="45" spans="1:18" x14ac:dyDescent="0.25">
      <c r="A45" s="3" t="s">
        <v>18</v>
      </c>
      <c r="B45" s="37" t="e">
        <f t="shared" ref="B45:F45" si="14">+B36/B39</f>
        <v>#N/A</v>
      </c>
      <c r="C45" s="37" t="e">
        <f t="shared" si="14"/>
        <v>#N/A</v>
      </c>
      <c r="D45" s="37" t="e">
        <f t="shared" si="14"/>
        <v>#N/A</v>
      </c>
      <c r="E45" s="37" t="e">
        <f t="shared" si="14"/>
        <v>#N/A</v>
      </c>
      <c r="F45" s="37" t="e">
        <f t="shared" si="14"/>
        <v>#N/A</v>
      </c>
      <c r="G45" s="37" t="e">
        <f>+G36/G39</f>
        <v>#N/A</v>
      </c>
      <c r="H45" s="37" t="e">
        <f t="shared" ref="H45:N45" si="15">+H36/H39</f>
        <v>#N/A</v>
      </c>
      <c r="I45" s="37" t="e">
        <f t="shared" si="15"/>
        <v>#N/A</v>
      </c>
      <c r="J45" s="37" t="e">
        <f t="shared" si="15"/>
        <v>#N/A</v>
      </c>
      <c r="K45" s="37" t="e">
        <f t="shared" si="15"/>
        <v>#N/A</v>
      </c>
      <c r="L45" s="37" t="e">
        <f t="shared" si="15"/>
        <v>#N/A</v>
      </c>
      <c r="M45" s="37" t="e">
        <f t="shared" si="15"/>
        <v>#N/A</v>
      </c>
      <c r="N45" s="37" t="e">
        <f t="shared" si="15"/>
        <v>#N/A</v>
      </c>
      <c r="O45" s="6"/>
      <c r="P45" s="4" t="e">
        <f>+P36/P39</f>
        <v>#N/A</v>
      </c>
    </row>
    <row r="46" spans="1:18" x14ac:dyDescent="0.25">
      <c r="A46" s="3" t="s">
        <v>19</v>
      </c>
      <c r="B46" s="37">
        <f>+B39/$B$47</f>
        <v>0</v>
      </c>
      <c r="C46" s="37">
        <f>+C39/$B$47</f>
        <v>0</v>
      </c>
      <c r="D46" s="37">
        <f t="shared" ref="D46:I46" si="16">+D39/$B$47</f>
        <v>0</v>
      </c>
      <c r="E46" s="37">
        <f t="shared" si="16"/>
        <v>0</v>
      </c>
      <c r="F46" s="37">
        <f t="shared" si="16"/>
        <v>0</v>
      </c>
      <c r="G46" s="37">
        <f t="shared" si="16"/>
        <v>0.49183420798585731</v>
      </c>
      <c r="H46" s="37">
        <f t="shared" si="16"/>
        <v>0</v>
      </c>
      <c r="I46" s="37">
        <f t="shared" si="16"/>
        <v>0</v>
      </c>
      <c r="J46" s="37">
        <f>+J39/$B$47</f>
        <v>0</v>
      </c>
      <c r="K46" s="37">
        <f>+K39/$B$47</f>
        <v>0</v>
      </c>
      <c r="L46" s="37">
        <f>+L39/$B$47</f>
        <v>0</v>
      </c>
      <c r="M46" s="37">
        <f>+M39/$B$47</f>
        <v>0</v>
      </c>
      <c r="N46" s="37">
        <f>+N39/$B$47</f>
        <v>0</v>
      </c>
      <c r="O46" s="6"/>
      <c r="P46" s="4">
        <f>+P39/$B$47</f>
        <v>0.49183420798585731</v>
      </c>
    </row>
    <row r="47" spans="1:18" x14ac:dyDescent="0.25">
      <c r="A47" s="3" t="s">
        <v>20</v>
      </c>
      <c r="B47" s="37">
        <f>20*P43*1000</f>
        <v>19888.66</v>
      </c>
      <c r="C47" s="37"/>
      <c r="D47" s="37"/>
      <c r="E47" s="37"/>
      <c r="F47" s="37"/>
      <c r="G47" s="37"/>
      <c r="H47" s="37"/>
      <c r="I47" s="37"/>
      <c r="J47" s="37"/>
      <c r="K47" s="37"/>
      <c r="L47" s="37"/>
      <c r="M47" s="37"/>
      <c r="N47" s="37"/>
      <c r="O47" s="37"/>
      <c r="P47" s="4"/>
    </row>
    <row r="48" spans="1:18" x14ac:dyDescent="0.25">
      <c r="A48" s="32"/>
      <c r="B48" s="237">
        <f>B39/$B$47</f>
        <v>0</v>
      </c>
      <c r="C48" s="237">
        <f>C39/$B$47</f>
        <v>0</v>
      </c>
      <c r="D48" s="237">
        <f t="shared" ref="D48:N48" si="17">D39/$B$47</f>
        <v>0</v>
      </c>
      <c r="E48" s="237">
        <f t="shared" si="17"/>
        <v>0</v>
      </c>
      <c r="F48" s="237">
        <f t="shared" si="17"/>
        <v>0</v>
      </c>
      <c r="G48" s="237">
        <f t="shared" si="17"/>
        <v>0.49183420798585731</v>
      </c>
      <c r="H48" s="237">
        <f t="shared" si="17"/>
        <v>0</v>
      </c>
      <c r="I48" s="237">
        <f t="shared" si="17"/>
        <v>0</v>
      </c>
      <c r="J48" s="237">
        <f t="shared" si="17"/>
        <v>0</v>
      </c>
      <c r="K48" s="237">
        <f t="shared" si="17"/>
        <v>0</v>
      </c>
      <c r="L48" s="237">
        <f t="shared" si="17"/>
        <v>0</v>
      </c>
      <c r="M48" s="237">
        <f t="shared" si="17"/>
        <v>0</v>
      </c>
      <c r="N48" s="237">
        <f t="shared" si="17"/>
        <v>0</v>
      </c>
      <c r="O48" s="35"/>
      <c r="P48" s="33"/>
    </row>
    <row r="49" spans="1:16" x14ac:dyDescent="0.25">
      <c r="A49" s="32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3"/>
    </row>
    <row r="50" spans="1:16" s="24" customFormat="1" x14ac:dyDescent="0.25">
      <c r="A50" s="271" t="s">
        <v>218</v>
      </c>
      <c r="B50" s="262"/>
      <c r="C50" s="262"/>
      <c r="D50" s="262"/>
      <c r="E50" s="262"/>
      <c r="F50" s="65"/>
      <c r="G50" s="66"/>
      <c r="H50" s="66"/>
      <c r="I50" s="66"/>
      <c r="J50" s="66"/>
      <c r="K50" s="50"/>
      <c r="L50" s="50"/>
      <c r="M50" s="50"/>
      <c r="N50" s="50"/>
      <c r="O50" s="50"/>
      <c r="P50" s="50"/>
    </row>
    <row r="51" spans="1:16" x14ac:dyDescent="0.25">
      <c r="A51" s="3" t="s">
        <v>6</v>
      </c>
      <c r="B51" s="380">
        <f>VLOOKUP($A$50,TABLA_1[],5,FALSE)</f>
        <v>0</v>
      </c>
      <c r="C51" s="380">
        <f>VLOOKUP($A$50,TABLA_2[],5,FALSE)</f>
        <v>0</v>
      </c>
      <c r="D51" s="380">
        <f>VLOOKUP($A$50,TABLA_3[],5,FALSE)</f>
        <v>0</v>
      </c>
      <c r="E51" s="380">
        <f>VLOOKUP($A$50,TABLA_4[],5,FALSE)</f>
        <v>0</v>
      </c>
      <c r="F51" s="380">
        <f>VLOOKUP($A$50,TABLA_5[],5,FALSE)</f>
        <v>0</v>
      </c>
      <c r="G51" s="380">
        <f>VLOOKUP($A$50,TABLA_6[],5,FALSE)</f>
        <v>4875.1166990000002</v>
      </c>
      <c r="H51" s="380">
        <f>VLOOKUP($A$50,TABLA_7[],5,FALSE)</f>
        <v>0</v>
      </c>
      <c r="I51" s="380">
        <f>VLOOKUP($A$50,TABLA_8[],5,FALSE)</f>
        <v>0</v>
      </c>
      <c r="J51" s="380">
        <f>VLOOKUP($A$50,TABLA_9[],5,FALSE)</f>
        <v>0</v>
      </c>
      <c r="K51" s="380">
        <f>VLOOKUP($A$50,TABLA_10[],5,FALSE)</f>
        <v>0</v>
      </c>
      <c r="L51" s="380">
        <f>VLOOKUP($A$50,TABLA_11[],5,FALSE)</f>
        <v>0</v>
      </c>
      <c r="M51" s="380">
        <f>VLOOKUP($A$50,TABLA_12[],5,FALSE)</f>
        <v>0</v>
      </c>
      <c r="N51" s="380">
        <f>VLOOKUP($A$50,TABLA_13[],5,FALSE)</f>
        <v>0</v>
      </c>
      <c r="O51" s="6"/>
      <c r="P51" s="43">
        <f>MAX(B51:N51)</f>
        <v>4875.1166990000002</v>
      </c>
    </row>
    <row r="52" spans="1:16" x14ac:dyDescent="0.25">
      <c r="A52" s="3" t="s">
        <v>7</v>
      </c>
      <c r="B52" s="380">
        <f>VLOOKUP($A$50,TABLA_1[],8,FALSE)</f>
        <v>0</v>
      </c>
      <c r="C52" s="380">
        <f>VLOOKUP($A$50,TABLA_2[],8,FALSE)</f>
        <v>0</v>
      </c>
      <c r="D52" s="380">
        <f>VLOOKUP($A$50,TABLA_3[],8,FALSE)</f>
        <v>0</v>
      </c>
      <c r="E52" s="380">
        <f>VLOOKUP($A$50,TABLA_4[],8,FALSE)</f>
        <v>0</v>
      </c>
      <c r="F52" s="380">
        <f>VLOOKUP($A$50,TABLA_5[],8,FALSE)</f>
        <v>0</v>
      </c>
      <c r="G52" s="380">
        <f>VLOOKUP($A$50,TABLA_6[],8,FALSE)</f>
        <v>2423655.151302</v>
      </c>
      <c r="H52" s="380">
        <f>VLOOKUP($A$50,TABLA_7[],8,FALSE)</f>
        <v>0</v>
      </c>
      <c r="I52" s="380">
        <f>VLOOKUP($A$50,TABLA_8[],8,FALSE)</f>
        <v>0</v>
      </c>
      <c r="J52" s="380">
        <f>VLOOKUP($A$50,TABLA_9[],8,FALSE)</f>
        <v>0</v>
      </c>
      <c r="K52" s="380">
        <f>VLOOKUP($A$50,TABLA_10[],8,FALSE)</f>
        <v>0</v>
      </c>
      <c r="L52" s="380">
        <f>VLOOKUP($A$50,TABLA_11[],8,FALSE)</f>
        <v>0</v>
      </c>
      <c r="M52" s="380">
        <f>VLOOKUP($A$50,TABLA_12[],8,FALSE)</f>
        <v>0</v>
      </c>
      <c r="N52" s="380">
        <f>VLOOKUP($A$50,TABLA_13[],8,FALSE)</f>
        <v>0</v>
      </c>
      <c r="O52" s="47">
        <f>SUM(B52:N52)</f>
        <v>2423655.151302</v>
      </c>
      <c r="P52" s="43">
        <f>SUM(B52:N52)/(COUNTIF(B52:N52,"&gt;0"))</f>
        <v>2423655.151302</v>
      </c>
    </row>
    <row r="53" spans="1:16" x14ac:dyDescent="0.25">
      <c r="A53" s="3" t="s">
        <v>16</v>
      </c>
      <c r="B53" s="37" t="e">
        <f>+((B51/B55)^2-(B51^2))^(0.5)</f>
        <v>#DIV/0!</v>
      </c>
      <c r="C53" s="37" t="e">
        <f>+((C51/C55)^2-(C51^2))^(0.5)</f>
        <v>#DIV/0!</v>
      </c>
      <c r="D53" s="37" t="e">
        <f t="shared" ref="D53:I53" si="18">+((D51/D55)^2-(D51^2))^(0.5)</f>
        <v>#DIV/0!</v>
      </c>
      <c r="E53" s="37" t="e">
        <f>+((E51/E55)^2-(E51^2))^(0.5)</f>
        <v>#DIV/0!</v>
      </c>
      <c r="F53" s="37" t="e">
        <f t="shared" si="18"/>
        <v>#DIV/0!</v>
      </c>
      <c r="G53" s="37">
        <f t="shared" si="18"/>
        <v>1126.6289042066996</v>
      </c>
      <c r="H53" s="37" t="e">
        <f t="shared" si="18"/>
        <v>#DIV/0!</v>
      </c>
      <c r="I53" s="37" t="e">
        <f t="shared" si="18"/>
        <v>#DIV/0!</v>
      </c>
      <c r="J53" s="37" t="e">
        <f>+((J51/J55)^2-(J51^2))^(0.5)</f>
        <v>#DIV/0!</v>
      </c>
      <c r="K53" s="37" t="e">
        <f>+((K51/K55)^2-(K51^2))^(0.5)</f>
        <v>#DIV/0!</v>
      </c>
      <c r="L53" s="37" t="e">
        <f>+((L51/L55)^2-(L51^2))^(0.5)</f>
        <v>#DIV/0!</v>
      </c>
      <c r="M53" s="37" t="e">
        <f>+((M51/M55)^2-(M51^2))^(0.5)</f>
        <v>#DIV/0!</v>
      </c>
      <c r="N53" s="37" t="e">
        <f>+((N51/N55)^2-(N51^2))^(0.5)</f>
        <v>#DIV/0!</v>
      </c>
      <c r="O53" s="37"/>
      <c r="P53" s="4">
        <f>HLOOKUP(P51,B51:N53,3,FALSE)</f>
        <v>1126.6289042066996</v>
      </c>
    </row>
    <row r="54" spans="1:16" x14ac:dyDescent="0.25">
      <c r="A54" s="3" t="s">
        <v>8</v>
      </c>
      <c r="B54" s="37">
        <f>+B52/(24*B$8)</f>
        <v>0</v>
      </c>
      <c r="C54" s="37">
        <f>+C52/(24*C$8)</f>
        <v>0</v>
      </c>
      <c r="D54" s="37">
        <f t="shared" ref="D54:I54" si="19">+D52/(24*D$8)</f>
        <v>0</v>
      </c>
      <c r="E54" s="37">
        <f t="shared" si="19"/>
        <v>0</v>
      </c>
      <c r="F54" s="37">
        <f t="shared" si="19"/>
        <v>0</v>
      </c>
      <c r="G54" s="37">
        <f t="shared" si="19"/>
        <v>3257.6010098145161</v>
      </c>
      <c r="H54" s="37">
        <f t="shared" si="19"/>
        <v>0</v>
      </c>
      <c r="I54" s="37">
        <f t="shared" si="19"/>
        <v>0</v>
      </c>
      <c r="J54" s="37">
        <f>+J52/(24*J$8)</f>
        <v>0</v>
      </c>
      <c r="K54" s="37">
        <f>+K52/(24*K$8)</f>
        <v>0</v>
      </c>
      <c r="L54" s="37">
        <f>+L52/(24*L$8)</f>
        <v>0</v>
      </c>
      <c r="M54" s="37">
        <f>+M52/(24*M$8)</f>
        <v>0</v>
      </c>
      <c r="N54" s="37">
        <f>+N52/(24*N$8)</f>
        <v>0</v>
      </c>
      <c r="O54" s="6">
        <f>SUM(O52)/(24*O$8)</f>
        <v>276.67296247739728</v>
      </c>
      <c r="P54" s="4">
        <f>O52/(COUNTIF(B52:N52,"&gt;0")*720)</f>
        <v>3366.1877101416667</v>
      </c>
    </row>
    <row r="55" spans="1:16" x14ac:dyDescent="0.25">
      <c r="A55" s="3" t="s">
        <v>9</v>
      </c>
      <c r="B55" s="380">
        <f>VLOOKUP($A$50,TABLA_1[],10,FALSE)</f>
        <v>0</v>
      </c>
      <c r="C55" s="380">
        <f>VLOOKUP($A$50,TABLA_2[],10,FALSE)</f>
        <v>0</v>
      </c>
      <c r="D55" s="380">
        <f>VLOOKUP($A$50,TABLA_3[],10,FALSE)</f>
        <v>0</v>
      </c>
      <c r="E55" s="380">
        <f>VLOOKUP($A$50,TABLA_4[],10,FALSE)</f>
        <v>0</v>
      </c>
      <c r="F55" s="380">
        <f>VLOOKUP($A$50,TABLA_5[],10,FALSE)</f>
        <v>0</v>
      </c>
      <c r="G55" s="380">
        <f>VLOOKUP($A$50,TABLA_6[],10,FALSE)</f>
        <v>0.97432099999999999</v>
      </c>
      <c r="H55" s="380">
        <f>VLOOKUP($A$50,TABLA_7[],10,FALSE)</f>
        <v>0</v>
      </c>
      <c r="I55" s="380">
        <f>VLOOKUP($A$50,TABLA_8[],10,FALSE)</f>
        <v>0</v>
      </c>
      <c r="J55" s="380">
        <f>VLOOKUP($A$50,TABLA_9[],10,FALSE)</f>
        <v>0</v>
      </c>
      <c r="K55" s="380">
        <f>VLOOKUP($A$50,TABLA_10[],10,FALSE)</f>
        <v>0</v>
      </c>
      <c r="L55" s="380">
        <f>VLOOKUP($A$50,TABLA_11[],10,FALSE)</f>
        <v>0</v>
      </c>
      <c r="M55" s="380">
        <f>VLOOKUP($A$50,TABLA_12[],10,FALSE)</f>
        <v>0</v>
      </c>
      <c r="N55" s="380">
        <f>VLOOKUP($A$50,TABLA_13[],10,FALSE)</f>
        <v>0</v>
      </c>
      <c r="O55" s="6"/>
      <c r="P55" s="4">
        <f>COS(ATAN(P53/P51))</f>
        <v>0.97432099999999988</v>
      </c>
    </row>
    <row r="56" spans="1:16" x14ac:dyDescent="0.25">
      <c r="A56" s="3" t="s">
        <v>17</v>
      </c>
      <c r="B56" s="328" t="e">
        <f>+B54/B51</f>
        <v>#DIV/0!</v>
      </c>
      <c r="C56" s="328" t="e">
        <f t="shared" ref="C56:M56" si="20">+C54/C51</f>
        <v>#DIV/0!</v>
      </c>
      <c r="D56" s="328" t="e">
        <f t="shared" si="20"/>
        <v>#DIV/0!</v>
      </c>
      <c r="E56" s="328" t="e">
        <f t="shared" si="20"/>
        <v>#DIV/0!</v>
      </c>
      <c r="F56" s="328" t="e">
        <f t="shared" si="20"/>
        <v>#DIV/0!</v>
      </c>
      <c r="G56" s="328">
        <f t="shared" si="20"/>
        <v>0.66820985238829789</v>
      </c>
      <c r="H56" s="328" t="e">
        <f t="shared" si="20"/>
        <v>#DIV/0!</v>
      </c>
      <c r="I56" s="328" t="e">
        <f t="shared" si="20"/>
        <v>#DIV/0!</v>
      </c>
      <c r="J56" s="328" t="e">
        <f t="shared" si="20"/>
        <v>#DIV/0!</v>
      </c>
      <c r="K56" s="328" t="e">
        <f t="shared" si="20"/>
        <v>#DIV/0!</v>
      </c>
      <c r="L56" s="328" t="e">
        <f t="shared" si="20"/>
        <v>#DIV/0!</v>
      </c>
      <c r="M56" s="328" t="e">
        <f t="shared" si="20"/>
        <v>#DIV/0!</v>
      </c>
      <c r="N56" s="37" t="e">
        <f>+N54/N51</f>
        <v>#DIV/0!</v>
      </c>
      <c r="O56" s="6"/>
      <c r="P56" s="4">
        <f>+P54/P51</f>
        <v>0.69048351413457443</v>
      </c>
    </row>
    <row r="57" spans="1:16" s="24" customFormat="1" x14ac:dyDescent="0.25">
      <c r="A57" s="271" t="s">
        <v>219</v>
      </c>
      <c r="B57" s="65"/>
      <c r="C57" s="65"/>
      <c r="D57" s="65"/>
      <c r="E57" s="65"/>
      <c r="F57" s="65"/>
      <c r="G57" s="66"/>
      <c r="H57" s="66"/>
      <c r="I57" s="66"/>
      <c r="J57" s="66"/>
      <c r="K57" s="50"/>
      <c r="L57" s="50"/>
      <c r="M57" s="50"/>
      <c r="N57" s="50"/>
      <c r="O57" s="50"/>
      <c r="P57" s="50"/>
    </row>
    <row r="58" spans="1:16" x14ac:dyDescent="0.25">
      <c r="A58" s="3" t="s">
        <v>6</v>
      </c>
      <c r="B58" s="380">
        <f>VLOOKUP($A$57,TABLA_1[],5,FALSE)</f>
        <v>0</v>
      </c>
      <c r="C58" s="380">
        <f>VLOOKUP($A$57,TABLA_2[],5,FALSE)</f>
        <v>0</v>
      </c>
      <c r="D58" s="380">
        <f>VLOOKUP($A$57,TABLA_3[],5,FALSE)</f>
        <v>0</v>
      </c>
      <c r="E58" s="380">
        <f>VLOOKUP($A$57,TABLA_4[],5,FALSE)</f>
        <v>0</v>
      </c>
      <c r="F58" s="380">
        <f>VLOOKUP($A$57,TABLA_5[],5,FALSE)</f>
        <v>0</v>
      </c>
      <c r="G58" s="380">
        <f>VLOOKUP($A$57,TABLA_6[],5,FALSE)</f>
        <v>5009.7784009999996</v>
      </c>
      <c r="H58" s="380">
        <f>VLOOKUP($A$57,TABLA_7[],5,FALSE)</f>
        <v>0</v>
      </c>
      <c r="I58" s="380">
        <f>VLOOKUP($A$57,TABLA_8[],5,FALSE)</f>
        <v>0</v>
      </c>
      <c r="J58" s="380">
        <f>VLOOKUP($A$57,TABLA_9[],5,FALSE)</f>
        <v>0</v>
      </c>
      <c r="K58" s="380">
        <f>VLOOKUP($A$57,TABLA_10[],5,FALSE)</f>
        <v>0</v>
      </c>
      <c r="L58" s="380">
        <f>VLOOKUP($A$57,TABLA_11[],5,FALSE)</f>
        <v>0</v>
      </c>
      <c r="M58" s="380">
        <f>VLOOKUP($A$57,TABLA_12[],5,FALSE)</f>
        <v>0</v>
      </c>
      <c r="N58" s="380">
        <f>VLOOKUP($A$57,TABLA_13[],5,FALSE)</f>
        <v>0</v>
      </c>
      <c r="O58" s="6"/>
      <c r="P58" s="47">
        <f>MAX(B58:N58)</f>
        <v>5009.7784009999996</v>
      </c>
    </row>
    <row r="59" spans="1:16" x14ac:dyDescent="0.25">
      <c r="A59" s="3" t="s">
        <v>7</v>
      </c>
      <c r="B59" s="380">
        <f>VLOOKUP($A$57,TABLA_1[],8,FALSE)</f>
        <v>0</v>
      </c>
      <c r="C59" s="380">
        <f>VLOOKUP($A$57,TABLA_2[],8,FALSE)</f>
        <v>0</v>
      </c>
      <c r="D59" s="380">
        <f>VLOOKUP($A$57,TABLA_3[],8,FALSE)</f>
        <v>0</v>
      </c>
      <c r="E59" s="380">
        <f>VLOOKUP($A$57,TABLA_4[],8,FALSE)</f>
        <v>0</v>
      </c>
      <c r="F59" s="380">
        <f>VLOOKUP($A$57,TABLA_5[],8,FALSE)</f>
        <v>0</v>
      </c>
      <c r="G59" s="380">
        <f>VLOOKUP($A$57,TABLA_6[],8,FALSE)</f>
        <v>2401586.0164890001</v>
      </c>
      <c r="H59" s="380">
        <f>VLOOKUP($A$57,TABLA_7[],8,FALSE)</f>
        <v>0</v>
      </c>
      <c r="I59" s="380">
        <f>VLOOKUP($A$57,TABLA_8[],8,FALSE)</f>
        <v>0</v>
      </c>
      <c r="J59" s="380">
        <f>VLOOKUP($A$57,TABLA_9[],8,FALSE)</f>
        <v>0</v>
      </c>
      <c r="K59" s="380">
        <f>VLOOKUP($A$57,TABLA_10[],8,FALSE)</f>
        <v>0</v>
      </c>
      <c r="L59" s="380">
        <f>VLOOKUP($A$57,TABLA_11[],8,FALSE)</f>
        <v>0</v>
      </c>
      <c r="M59" s="380">
        <f>VLOOKUP($A$57,TABLA_12[],8,FALSE)</f>
        <v>0</v>
      </c>
      <c r="N59" s="380">
        <f>VLOOKUP($A$57,TABLA_13[],8,FALSE)</f>
        <v>0</v>
      </c>
      <c r="O59" s="47">
        <f>SUM(B59:N59)</f>
        <v>2401586.0164890001</v>
      </c>
      <c r="P59" s="43">
        <f>SUM(B59:N59)/(COUNTIF(B59:N59,"&gt;0"))</f>
        <v>2401586.0164890001</v>
      </c>
    </row>
    <row r="60" spans="1:16" x14ac:dyDescent="0.25">
      <c r="A60" s="3" t="s">
        <v>16</v>
      </c>
      <c r="B60" s="37" t="e">
        <f>+((B58/B62)^2-(B58^2))^(0.5)</f>
        <v>#DIV/0!</v>
      </c>
      <c r="C60" s="37" t="e">
        <f>+((C58/C62)^2-(C58^2))^(0.5)</f>
        <v>#DIV/0!</v>
      </c>
      <c r="D60" s="37" t="e">
        <f t="shared" ref="D60:I60" si="21">+((D58/D62)^2-(D58^2))^(0.5)</f>
        <v>#DIV/0!</v>
      </c>
      <c r="E60" s="37" t="e">
        <f t="shared" si="21"/>
        <v>#DIV/0!</v>
      </c>
      <c r="F60" s="37" t="e">
        <f t="shared" si="21"/>
        <v>#DIV/0!</v>
      </c>
      <c r="G60" s="37">
        <f t="shared" si="21"/>
        <v>881.35662840543432</v>
      </c>
      <c r="H60" s="37" t="e">
        <f t="shared" si="21"/>
        <v>#DIV/0!</v>
      </c>
      <c r="I60" s="37" t="e">
        <f t="shared" si="21"/>
        <v>#DIV/0!</v>
      </c>
      <c r="J60" s="37" t="e">
        <f>+((J58/J62)^2-(J58^2))^(0.5)</f>
        <v>#DIV/0!</v>
      </c>
      <c r="K60" s="37" t="e">
        <f>+((K58/K62)^2-(K58^2))^(0.5)</f>
        <v>#DIV/0!</v>
      </c>
      <c r="L60" s="37" t="e">
        <f>+((L58/L62)^2-(L58^2))^(0.5)</f>
        <v>#DIV/0!</v>
      </c>
      <c r="M60" s="37" t="e">
        <f>+((M58/M62)^2-(M58^2))^(0.5)</f>
        <v>#DIV/0!</v>
      </c>
      <c r="N60" s="37" t="e">
        <f>+((N58/N62)^2-(N58^2))^(0.5)</f>
        <v>#DIV/0!</v>
      </c>
      <c r="O60" s="37"/>
      <c r="P60" s="4">
        <f>HLOOKUP(P58,B58:N60,3,FALSE)</f>
        <v>881.35662840543432</v>
      </c>
    </row>
    <row r="61" spans="1:16" x14ac:dyDescent="0.25">
      <c r="A61" s="3" t="s">
        <v>8</v>
      </c>
      <c r="B61" s="37">
        <f>+B59/(24*B$8)</f>
        <v>0</v>
      </c>
      <c r="C61" s="37">
        <f>+C59/(24*C$8)</f>
        <v>0</v>
      </c>
      <c r="D61" s="37">
        <f t="shared" ref="D61:I61" si="22">+D59/(24*D$8)</f>
        <v>0</v>
      </c>
      <c r="E61" s="37">
        <f t="shared" si="22"/>
        <v>0</v>
      </c>
      <c r="F61" s="37">
        <f t="shared" si="22"/>
        <v>0</v>
      </c>
      <c r="G61" s="37">
        <f t="shared" si="22"/>
        <v>3227.9381942056452</v>
      </c>
      <c r="H61" s="37">
        <f t="shared" si="22"/>
        <v>0</v>
      </c>
      <c r="I61" s="37">
        <f t="shared" si="22"/>
        <v>0</v>
      </c>
      <c r="J61" s="37">
        <f>+J59/(24*J$8)</f>
        <v>0</v>
      </c>
      <c r="K61" s="37">
        <f>+K59/(24*K$8)</f>
        <v>0</v>
      </c>
      <c r="L61" s="37">
        <f>+L59/(24*L$8)</f>
        <v>0</v>
      </c>
      <c r="M61" s="37">
        <f>+M59/(24*M$8)</f>
        <v>0</v>
      </c>
      <c r="N61" s="37">
        <f>+N59/(24*N$8)</f>
        <v>0</v>
      </c>
      <c r="O61" s="6">
        <f>SUM(O59)/(24*O$8)</f>
        <v>274.15365485034249</v>
      </c>
      <c r="P61" s="4">
        <f>O59/(COUNTIF(B59:N59,"&gt;0")*720)</f>
        <v>3335.5361340125</v>
      </c>
    </row>
    <row r="62" spans="1:16" x14ac:dyDescent="0.25">
      <c r="A62" s="3" t="s">
        <v>9</v>
      </c>
      <c r="B62" s="380">
        <f>VLOOKUP($A$57,TABLA_1[],10,FALSE)</f>
        <v>0</v>
      </c>
      <c r="C62" s="380">
        <f>VLOOKUP($A$57,TABLA_2[],10,FALSE)</f>
        <v>0</v>
      </c>
      <c r="D62" s="380">
        <f>VLOOKUP($A$57,TABLA_3[],10,FALSE)</f>
        <v>0</v>
      </c>
      <c r="E62" s="380">
        <f>VLOOKUP($A$57,TABLA_4[],10,FALSE)</f>
        <v>0</v>
      </c>
      <c r="F62" s="380">
        <f>VLOOKUP($A$57,TABLA_5[],10,FALSE)</f>
        <v>0</v>
      </c>
      <c r="G62" s="380">
        <f>VLOOKUP($A$57,TABLA_6[],10,FALSE)</f>
        <v>0.98487499999999994</v>
      </c>
      <c r="H62" s="380">
        <f>VLOOKUP($A$57,TABLA_7[],10,FALSE)</f>
        <v>0</v>
      </c>
      <c r="I62" s="380">
        <f>VLOOKUP($A$57,TABLA_8[],10,FALSE)</f>
        <v>0</v>
      </c>
      <c r="J62" s="380">
        <f>VLOOKUP($A$57,TABLA_9[],10,FALSE)</f>
        <v>0</v>
      </c>
      <c r="K62" s="380">
        <f>VLOOKUP($A$57,TABLA_10[],10,FALSE)</f>
        <v>0</v>
      </c>
      <c r="L62" s="380">
        <f>VLOOKUP($A$57,TABLA_11[],10,FALSE)</f>
        <v>0</v>
      </c>
      <c r="M62" s="380">
        <f>VLOOKUP($A$57,TABLA_12[],10,FALSE)</f>
        <v>0</v>
      </c>
      <c r="N62" s="380">
        <f>VLOOKUP($A$57,TABLA_13[],10,FALSE)</f>
        <v>0</v>
      </c>
      <c r="O62" s="6"/>
      <c r="P62" s="4">
        <f>COS(ATAN(P60/P58))</f>
        <v>0.98487499999999994</v>
      </c>
    </row>
    <row r="63" spans="1:16" x14ac:dyDescent="0.25">
      <c r="A63" s="3" t="s">
        <v>17</v>
      </c>
      <c r="B63" s="328" t="e">
        <f>+B61/B58</f>
        <v>#DIV/0!</v>
      </c>
      <c r="C63" s="328" t="e">
        <f t="shared" ref="C63:M63" si="23">+C61/C58</f>
        <v>#DIV/0!</v>
      </c>
      <c r="D63" s="328" t="e">
        <f t="shared" si="23"/>
        <v>#DIV/0!</v>
      </c>
      <c r="E63" s="328" t="e">
        <f t="shared" si="23"/>
        <v>#DIV/0!</v>
      </c>
      <c r="F63" s="328" t="e">
        <f t="shared" si="23"/>
        <v>#DIV/0!</v>
      </c>
      <c r="G63" s="328">
        <f t="shared" si="23"/>
        <v>0.64432754022838978</v>
      </c>
      <c r="H63" s="328" t="e">
        <f t="shared" si="23"/>
        <v>#DIV/0!</v>
      </c>
      <c r="I63" s="328" t="e">
        <f t="shared" si="23"/>
        <v>#DIV/0!</v>
      </c>
      <c r="J63" s="328" t="e">
        <f t="shared" si="23"/>
        <v>#DIV/0!</v>
      </c>
      <c r="K63" s="328" t="e">
        <f t="shared" si="23"/>
        <v>#DIV/0!</v>
      </c>
      <c r="L63" s="328" t="e">
        <f t="shared" si="23"/>
        <v>#DIV/0!</v>
      </c>
      <c r="M63" s="328" t="e">
        <f t="shared" si="23"/>
        <v>#DIV/0!</v>
      </c>
      <c r="N63" s="37" t="e">
        <f>+N61/N58</f>
        <v>#DIV/0!</v>
      </c>
      <c r="O63" s="6"/>
      <c r="P63" s="4">
        <f>+P61/P58</f>
        <v>0.66580512490266941</v>
      </c>
    </row>
    <row r="64" spans="1:16" s="24" customFormat="1" x14ac:dyDescent="0.25">
      <c r="A64" s="271" t="s">
        <v>220</v>
      </c>
      <c r="B64" s="65"/>
      <c r="C64" s="65"/>
      <c r="D64" s="65"/>
      <c r="E64" s="65"/>
      <c r="F64" s="65"/>
      <c r="G64" s="66"/>
      <c r="H64" s="66"/>
      <c r="I64" s="66"/>
      <c r="J64" s="66"/>
      <c r="K64" s="50"/>
      <c r="L64" s="50"/>
      <c r="M64" s="50"/>
      <c r="N64" s="50"/>
      <c r="O64" s="50"/>
      <c r="P64" s="50"/>
    </row>
    <row r="65" spans="1:18" x14ac:dyDescent="0.25">
      <c r="A65" s="3" t="s">
        <v>6</v>
      </c>
      <c r="B65" s="380">
        <f>VLOOKUP($A$64,TABLA_1[],5,FALSE)</f>
        <v>0</v>
      </c>
      <c r="C65" s="380">
        <f>VLOOKUP($A$64,TABLA_2[],5,FALSE)</f>
        <v>0</v>
      </c>
      <c r="D65" s="380">
        <f>VLOOKUP($A$64,TABLA_3[],5,FALSE)</f>
        <v>0</v>
      </c>
      <c r="E65" s="380">
        <f>VLOOKUP($A$64,TABLA_4[],5,FALSE)</f>
        <v>0</v>
      </c>
      <c r="F65" s="380">
        <f>VLOOKUP($A$64,TABLA_5[],5,FALSE)</f>
        <v>0</v>
      </c>
      <c r="G65" s="380">
        <f>VLOOKUP($A$64,TABLA_6[],5,FALSE)</f>
        <v>2118.829956</v>
      </c>
      <c r="H65" s="380">
        <f>VLOOKUP($A$64,TABLA_7[],5,FALSE)</f>
        <v>0</v>
      </c>
      <c r="I65" s="380">
        <f>VLOOKUP($A$64,TABLA_8[],5,FALSE)</f>
        <v>0</v>
      </c>
      <c r="J65" s="380">
        <f>VLOOKUP($A$64,TABLA_9[],5,FALSE)</f>
        <v>0</v>
      </c>
      <c r="K65" s="380">
        <f>VLOOKUP($A$64,TABLA_10[],5,FALSE)</f>
        <v>0</v>
      </c>
      <c r="L65" s="380">
        <f>VLOOKUP($A$64,TABLA_11[],5,FALSE)</f>
        <v>0</v>
      </c>
      <c r="M65" s="380">
        <f>VLOOKUP($A$64,TABLA_12[],5,FALSE)</f>
        <v>0</v>
      </c>
      <c r="N65" s="380">
        <f>VLOOKUP($A$64,TABLA_13[],5,FALSE)</f>
        <v>0</v>
      </c>
      <c r="O65" s="6"/>
      <c r="P65" s="43">
        <f>MAX(B65:N65)</f>
        <v>2118.829956</v>
      </c>
    </row>
    <row r="66" spans="1:18" x14ac:dyDescent="0.25">
      <c r="A66" s="3" t="s">
        <v>7</v>
      </c>
      <c r="B66" s="380">
        <f>VLOOKUP($A$64,TABLA_1[],8,FALSE)</f>
        <v>0</v>
      </c>
      <c r="C66" s="380">
        <f>VLOOKUP($A$64,TABLA_2[],8,FALSE)</f>
        <v>0</v>
      </c>
      <c r="D66" s="380">
        <f>VLOOKUP($A$64,TABLA_3[],8,FALSE)</f>
        <v>0</v>
      </c>
      <c r="E66" s="380">
        <f>VLOOKUP($A$64,TABLA_4[],8,FALSE)</f>
        <v>0</v>
      </c>
      <c r="F66" s="380">
        <f>VLOOKUP($A$64,TABLA_5[],8,FALSE)</f>
        <v>0</v>
      </c>
      <c r="G66" s="380">
        <f>VLOOKUP($A$64,TABLA_6[],8,FALSE)</f>
        <v>1204849.026965</v>
      </c>
      <c r="H66" s="380">
        <f>VLOOKUP($A$64,TABLA_7[],8,FALSE)</f>
        <v>0</v>
      </c>
      <c r="I66" s="380">
        <f>VLOOKUP($A$64,TABLA_8[],8,FALSE)</f>
        <v>0</v>
      </c>
      <c r="J66" s="380">
        <f>VLOOKUP($A$64,TABLA_9[],8,FALSE)</f>
        <v>0</v>
      </c>
      <c r="K66" s="380">
        <f>VLOOKUP($A$64,TABLA_10[],8,FALSE)</f>
        <v>0</v>
      </c>
      <c r="L66" s="380">
        <f>VLOOKUP($A$64,TABLA_11[],8,FALSE)</f>
        <v>0</v>
      </c>
      <c r="M66" s="380">
        <f>VLOOKUP($A$64,TABLA_12[],8,FALSE)</f>
        <v>0</v>
      </c>
      <c r="N66" s="380">
        <f>VLOOKUP($A$64,TABLA_13[],8,FALSE)</f>
        <v>0</v>
      </c>
      <c r="O66" s="47">
        <f>SUM(B66:N66)</f>
        <v>1204849.026965</v>
      </c>
      <c r="P66" s="43">
        <f>SUM(B66:N66)/(COUNTIF(B66:N66,"&gt;0"))</f>
        <v>1204849.026965</v>
      </c>
    </row>
    <row r="67" spans="1:18" x14ac:dyDescent="0.25">
      <c r="A67" s="3" t="s">
        <v>16</v>
      </c>
      <c r="B67" s="37" t="e">
        <f>+((B65/B69)^2-(B65^2))^(0.5)</f>
        <v>#DIV/0!</v>
      </c>
      <c r="C67" s="37" t="e">
        <f>+((C65/C69)^2-(C65^2))^(0.5)</f>
        <v>#DIV/0!</v>
      </c>
      <c r="D67" s="37" t="e">
        <f t="shared" ref="D67:I67" si="24">+((D65/D69)^2-(D65^2))^(0.5)</f>
        <v>#DIV/0!</v>
      </c>
      <c r="E67" s="37" t="e">
        <f t="shared" si="24"/>
        <v>#DIV/0!</v>
      </c>
      <c r="F67" s="37" t="e">
        <f t="shared" si="24"/>
        <v>#DIV/0!</v>
      </c>
      <c r="G67" s="37">
        <f t="shared" si="24"/>
        <v>89.804820326044833</v>
      </c>
      <c r="H67" s="37" t="e">
        <f t="shared" si="24"/>
        <v>#DIV/0!</v>
      </c>
      <c r="I67" s="37" t="e">
        <f t="shared" si="24"/>
        <v>#DIV/0!</v>
      </c>
      <c r="J67" s="37" t="e">
        <f>+((J65/J69)^2-(J65^2))^(0.5)</f>
        <v>#DIV/0!</v>
      </c>
      <c r="K67" s="37" t="e">
        <f>+((K65/K69)^2-(K65^2))^(0.5)</f>
        <v>#DIV/0!</v>
      </c>
      <c r="L67" s="37" t="e">
        <f>+((L65/L69)^2-(L65^2))^(0.5)</f>
        <v>#DIV/0!</v>
      </c>
      <c r="M67" s="37" t="e">
        <f>+((M65/M69)^2-(M65^2))^(0.5)</f>
        <v>#DIV/0!</v>
      </c>
      <c r="N67" s="37" t="e">
        <f>+((N65/N69)^2-(N65^2))^(0.5)</f>
        <v>#DIV/0!</v>
      </c>
      <c r="O67" s="37"/>
      <c r="P67" s="4">
        <f>HLOOKUP(P65,B65:N67,3,FALSE)</f>
        <v>89.804820326044833</v>
      </c>
    </row>
    <row r="68" spans="1:18" x14ac:dyDescent="0.25">
      <c r="A68" s="3" t="s">
        <v>8</v>
      </c>
      <c r="B68" s="37">
        <f>+B66/(24*B$8)</f>
        <v>0</v>
      </c>
      <c r="C68" s="37">
        <f>+C66/(24*C$8)</f>
        <v>0</v>
      </c>
      <c r="D68" s="37">
        <f t="shared" ref="D68:I68" si="25">+D66/(24*D$8)</f>
        <v>0</v>
      </c>
      <c r="E68" s="37">
        <f t="shared" si="25"/>
        <v>0</v>
      </c>
      <c r="F68" s="37">
        <f t="shared" si="25"/>
        <v>0</v>
      </c>
      <c r="G68" s="37">
        <f t="shared" si="25"/>
        <v>1619.4207351680107</v>
      </c>
      <c r="H68" s="37">
        <f t="shared" si="25"/>
        <v>0</v>
      </c>
      <c r="I68" s="37">
        <f t="shared" si="25"/>
        <v>0</v>
      </c>
      <c r="J68" s="37">
        <f>+J66/(24*J$8)</f>
        <v>0</v>
      </c>
      <c r="K68" s="37">
        <f>+K66/(24*K$8)</f>
        <v>0</v>
      </c>
      <c r="L68" s="37">
        <f>+L66/(24*L$8)</f>
        <v>0</v>
      </c>
      <c r="M68" s="37">
        <f>+M66/(24*M$8)</f>
        <v>0</v>
      </c>
      <c r="N68" s="37">
        <f>+N66/(24*N$8)</f>
        <v>0</v>
      </c>
      <c r="O68" s="6">
        <f>SUM(O66)/(24*O$8)</f>
        <v>137.53984326084475</v>
      </c>
      <c r="P68" s="4">
        <f>O66/(COUNTIF(B66:N66,"&gt;0")*720)</f>
        <v>1673.4014263402778</v>
      </c>
    </row>
    <row r="69" spans="1:18" x14ac:dyDescent="0.25">
      <c r="A69" s="3" t="s">
        <v>9</v>
      </c>
      <c r="B69" s="380">
        <f>VLOOKUP($A$64,TABLA_1[],10,FALSE)</f>
        <v>0</v>
      </c>
      <c r="C69" s="380">
        <f>VLOOKUP($A$64,TABLA_2[],10,FALSE)</f>
        <v>0</v>
      </c>
      <c r="D69" s="380">
        <f>VLOOKUP($A$64,TABLA_3[],10,FALSE)</f>
        <v>0</v>
      </c>
      <c r="E69" s="380">
        <f>VLOOKUP($A$64,TABLA_4[],10,FALSE)</f>
        <v>0</v>
      </c>
      <c r="F69" s="380">
        <f>VLOOKUP($A$64,TABLA_5[],10,FALSE)</f>
        <v>0</v>
      </c>
      <c r="G69" s="380">
        <f>VLOOKUP($A$64,TABLA_6[],10,FALSE)</f>
        <v>0.99910299999999996</v>
      </c>
      <c r="H69" s="380">
        <f>VLOOKUP($A$64,TABLA_7[],10,FALSE)</f>
        <v>0</v>
      </c>
      <c r="I69" s="380">
        <f>VLOOKUP($A$64,TABLA_8[],10,FALSE)</f>
        <v>0</v>
      </c>
      <c r="J69" s="380">
        <f>VLOOKUP($A$64,TABLA_9[],10,FALSE)</f>
        <v>0</v>
      </c>
      <c r="K69" s="380">
        <f>VLOOKUP($A$64,TABLA_10[],10,FALSE)</f>
        <v>0</v>
      </c>
      <c r="L69" s="380">
        <f>VLOOKUP($A$64,TABLA_11[],10,FALSE)</f>
        <v>0</v>
      </c>
      <c r="M69" s="380">
        <f>VLOOKUP($A$64,TABLA_12[],10,FALSE)</f>
        <v>0</v>
      </c>
      <c r="N69" s="380">
        <f>VLOOKUP($A$64,TABLA_13[],10,FALSE)</f>
        <v>0</v>
      </c>
      <c r="O69" s="6"/>
      <c r="P69" s="4">
        <f>COS(ATAN(P67/P65))</f>
        <v>0.99910299999999996</v>
      </c>
    </row>
    <row r="70" spans="1:18" x14ac:dyDescent="0.25">
      <c r="A70" s="3" t="s">
        <v>17</v>
      </c>
      <c r="B70" s="328" t="e">
        <f>+B68/B65</f>
        <v>#DIV/0!</v>
      </c>
      <c r="C70" s="328" t="e">
        <f t="shared" ref="C70:M70" si="26">+C68/C65</f>
        <v>#DIV/0!</v>
      </c>
      <c r="D70" s="328" t="e">
        <f t="shared" si="26"/>
        <v>#DIV/0!</v>
      </c>
      <c r="E70" s="328" t="e">
        <f t="shared" si="26"/>
        <v>#DIV/0!</v>
      </c>
      <c r="F70" s="328" t="e">
        <f t="shared" si="26"/>
        <v>#DIV/0!</v>
      </c>
      <c r="G70" s="328">
        <f t="shared" si="26"/>
        <v>0.76429952794570111</v>
      </c>
      <c r="H70" s="328" t="e">
        <f t="shared" si="26"/>
        <v>#DIV/0!</v>
      </c>
      <c r="I70" s="328" t="e">
        <f t="shared" si="26"/>
        <v>#DIV/0!</v>
      </c>
      <c r="J70" s="328" t="e">
        <f t="shared" si="26"/>
        <v>#DIV/0!</v>
      </c>
      <c r="K70" s="328" t="e">
        <f t="shared" si="26"/>
        <v>#DIV/0!</v>
      </c>
      <c r="L70" s="328" t="e">
        <f t="shared" si="26"/>
        <v>#DIV/0!</v>
      </c>
      <c r="M70" s="328" t="e">
        <f t="shared" si="26"/>
        <v>#DIV/0!</v>
      </c>
      <c r="N70" s="37" t="e">
        <f>+N68/N65</f>
        <v>#DIV/0!</v>
      </c>
      <c r="O70" s="6"/>
      <c r="P70" s="4">
        <f>+P68/P65</f>
        <v>0.78977617887722451</v>
      </c>
    </row>
    <row r="71" spans="1:18" x14ac:dyDescent="0.25">
      <c r="A71" s="48"/>
      <c r="B71" s="91"/>
      <c r="C71" s="91"/>
      <c r="D71" s="91"/>
      <c r="E71" s="91"/>
      <c r="F71" s="91"/>
      <c r="G71" s="64"/>
      <c r="H71" s="64"/>
      <c r="I71" s="64"/>
      <c r="J71" s="64"/>
      <c r="K71" s="64"/>
      <c r="L71" s="64"/>
      <c r="M71" s="64"/>
      <c r="N71" s="64"/>
      <c r="O71" s="64"/>
      <c r="P71" s="48"/>
    </row>
    <row r="72" spans="1:18" x14ac:dyDescent="0.25">
      <c r="A72" s="7" t="s">
        <v>10</v>
      </c>
      <c r="B72" s="72"/>
      <c r="C72" s="72"/>
      <c r="D72" s="72"/>
      <c r="E72" s="72"/>
      <c r="F72" s="72"/>
      <c r="G72" s="73"/>
      <c r="H72" s="73"/>
      <c r="I72" s="73"/>
      <c r="J72" s="73"/>
      <c r="K72" s="73"/>
      <c r="L72" s="53"/>
      <c r="M72" s="53"/>
      <c r="N72" s="53"/>
      <c r="O72" s="53"/>
      <c r="P72" s="8"/>
    </row>
    <row r="73" spans="1:18" x14ac:dyDescent="0.25">
      <c r="A73" s="9" t="s">
        <v>11</v>
      </c>
      <c r="B73" s="62">
        <f>+B51+B58+B65</f>
        <v>0</v>
      </c>
      <c r="C73" s="62">
        <f>+C51+C58+C65</f>
        <v>0</v>
      </c>
      <c r="D73" s="62">
        <f t="shared" ref="D73:I74" si="27">+D51+D58+D65</f>
        <v>0</v>
      </c>
      <c r="E73" s="62">
        <f t="shared" si="27"/>
        <v>0</v>
      </c>
      <c r="F73" s="62">
        <f t="shared" si="27"/>
        <v>0</v>
      </c>
      <c r="G73" s="62">
        <f t="shared" si="27"/>
        <v>12003.725055999999</v>
      </c>
      <c r="H73" s="62">
        <f t="shared" si="27"/>
        <v>0</v>
      </c>
      <c r="I73" s="62">
        <f t="shared" si="27"/>
        <v>0</v>
      </c>
      <c r="J73" s="62">
        <f t="shared" ref="J73:N74" si="28">+J51+J58+J65</f>
        <v>0</v>
      </c>
      <c r="K73" s="62">
        <f t="shared" si="28"/>
        <v>0</v>
      </c>
      <c r="L73" s="62">
        <f t="shared" si="28"/>
        <v>0</v>
      </c>
      <c r="M73" s="62">
        <f t="shared" si="28"/>
        <v>0</v>
      </c>
      <c r="N73" s="62">
        <f t="shared" si="28"/>
        <v>0</v>
      </c>
      <c r="O73" s="54"/>
      <c r="P73" s="42">
        <f>MAX(B73:N73)</f>
        <v>12003.725055999999</v>
      </c>
    </row>
    <row r="74" spans="1:18" x14ac:dyDescent="0.25">
      <c r="A74" s="9" t="s">
        <v>7</v>
      </c>
      <c r="B74" s="62">
        <f>+B52+B59+B66</f>
        <v>0</v>
      </c>
      <c r="C74" s="62">
        <f>+C52+C59+C66</f>
        <v>0</v>
      </c>
      <c r="D74" s="62">
        <f t="shared" si="27"/>
        <v>0</v>
      </c>
      <c r="E74" s="62">
        <f t="shared" si="27"/>
        <v>0</v>
      </c>
      <c r="F74" s="62">
        <f t="shared" si="27"/>
        <v>0</v>
      </c>
      <c r="G74" s="62">
        <f t="shared" si="27"/>
        <v>6030090.1947559994</v>
      </c>
      <c r="H74" s="62">
        <f t="shared" si="27"/>
        <v>0</v>
      </c>
      <c r="I74" s="62">
        <f t="shared" si="27"/>
        <v>0</v>
      </c>
      <c r="J74" s="62">
        <f t="shared" si="28"/>
        <v>0</v>
      </c>
      <c r="K74" s="62">
        <f t="shared" si="28"/>
        <v>0</v>
      </c>
      <c r="L74" s="62">
        <f t="shared" si="28"/>
        <v>0</v>
      </c>
      <c r="M74" s="62">
        <f t="shared" si="28"/>
        <v>0</v>
      </c>
      <c r="N74" s="62">
        <f t="shared" si="28"/>
        <v>0</v>
      </c>
      <c r="O74" s="62">
        <f>SUM(B74:N74)</f>
        <v>6030090.1947559994</v>
      </c>
      <c r="P74" s="42"/>
    </row>
    <row r="75" spans="1:18" s="24" customFormat="1" x14ac:dyDescent="0.25">
      <c r="A75" s="272" t="s">
        <v>13</v>
      </c>
      <c r="B75" s="376" t="s">
        <v>476</v>
      </c>
      <c r="C75" s="246"/>
      <c r="D75" s="246"/>
      <c r="E75" s="246"/>
      <c r="F75" s="246"/>
      <c r="G75" s="247"/>
      <c r="H75" s="247"/>
      <c r="I75" s="66"/>
      <c r="J75" s="247"/>
      <c r="K75" s="36"/>
      <c r="L75" s="36"/>
      <c r="M75" s="36"/>
      <c r="N75" s="36"/>
      <c r="O75" s="47"/>
      <c r="P75" s="47"/>
    </row>
    <row r="76" spans="1:18" x14ac:dyDescent="0.25">
      <c r="A76" s="3" t="s">
        <v>6</v>
      </c>
      <c r="B76" s="380">
        <f>VLOOKUP($B$75,BancoTabla_1[],5,FALSE)</f>
        <v>0</v>
      </c>
      <c r="C76" s="380">
        <f>VLOOKUP($B$75,BancoTabla_2[],5,FALSE)</f>
        <v>0</v>
      </c>
      <c r="D76" s="380">
        <f>VLOOKUP($B$75,BancoTabla_3[],5,FALSE)</f>
        <v>0</v>
      </c>
      <c r="E76" s="380">
        <f>VLOOKUP($B$75,BancoTabla_4[],5,FALSE)</f>
        <v>0</v>
      </c>
      <c r="F76" s="380">
        <f>VLOOKUP($B$75,BancoTabla_5[],5,FALSE)</f>
        <v>0</v>
      </c>
      <c r="G76" s="380">
        <f>VLOOKUP($B$75,BancoTabla_6[],5,FALSE)</f>
        <v>11873.933268000001</v>
      </c>
      <c r="H76" s="380">
        <f>VLOOKUP($B$75,BancoTabla_7[],5,FALSE)</f>
        <v>0</v>
      </c>
      <c r="I76" s="380">
        <f>VLOOKUP($B$75,BancoTabla_8[],5,FALSE)</f>
        <v>0</v>
      </c>
      <c r="J76" s="380">
        <f>VLOOKUP($B$75,BancoTabla_9[],5,FALSE)</f>
        <v>0</v>
      </c>
      <c r="K76" s="380">
        <f>VLOOKUP($B$75,BancoTabla_10[],5,FALSE)</f>
        <v>0</v>
      </c>
      <c r="L76" s="380">
        <f>VLOOKUP($B$75,BancoTabla_11[],5,FALSE)</f>
        <v>0</v>
      </c>
      <c r="M76" s="380">
        <f>VLOOKUP($B$75,BancoTabla_12[],5,FALSE)</f>
        <v>0</v>
      </c>
      <c r="N76" s="380">
        <f>VLOOKUP($B$75,BancoTabla_13[],5,FALSE)</f>
        <v>0</v>
      </c>
      <c r="O76" s="79"/>
      <c r="P76" s="43">
        <f>MAX(B76:N76)</f>
        <v>11873.933268000001</v>
      </c>
      <c r="Q76" s="334">
        <f>P76/1000</f>
        <v>11.873933268</v>
      </c>
    </row>
    <row r="77" spans="1:18" x14ac:dyDescent="0.25">
      <c r="A77" s="3" t="s">
        <v>7</v>
      </c>
      <c r="B77" s="380">
        <f>VLOOKUP($B$75,BancoTabla_1[],8,FALSE)</f>
        <v>0</v>
      </c>
      <c r="C77" s="380">
        <f>VLOOKUP($B$75,BancoTabla_2[],8,FALSE)</f>
        <v>0</v>
      </c>
      <c r="D77" s="380">
        <f>VLOOKUP($B$75,BancoTabla_3[],8,FALSE)</f>
        <v>0</v>
      </c>
      <c r="E77" s="380">
        <f>VLOOKUP($B$75,BancoTabla_4[],8,FALSE)</f>
        <v>0</v>
      </c>
      <c r="F77" s="380">
        <f>VLOOKUP($B$75,BancoTabla_5[],8,FALSE)</f>
        <v>0</v>
      </c>
      <c r="G77" s="380">
        <f>VLOOKUP($B$75,BancoTabla_6[],8,FALSE)</f>
        <v>6064502.4711469999</v>
      </c>
      <c r="H77" s="380">
        <f>VLOOKUP($B$75,BancoTabla_7[],8,FALSE)</f>
        <v>0</v>
      </c>
      <c r="I77" s="380">
        <f>VLOOKUP($B$75,BancoTabla_8[],8,FALSE)</f>
        <v>0</v>
      </c>
      <c r="J77" s="380">
        <f>VLOOKUP($B$75,BancoTabla_9[],8,FALSE)</f>
        <v>0</v>
      </c>
      <c r="K77" s="380">
        <f>VLOOKUP($B$75,BancoTabla_10[],8,FALSE)</f>
        <v>0</v>
      </c>
      <c r="L77" s="380">
        <f>VLOOKUP($B$75,BancoTabla_11[],8,FALSE)</f>
        <v>0</v>
      </c>
      <c r="M77" s="380">
        <f>VLOOKUP($B$75,BancoTabla_12[],8,FALSE)</f>
        <v>0</v>
      </c>
      <c r="N77" s="380">
        <f>VLOOKUP($B$75,BancoTabla_13[],8,FALSE)</f>
        <v>0</v>
      </c>
      <c r="O77" s="47">
        <f>SUM(B77:N77)</f>
        <v>6064502.4711469999</v>
      </c>
      <c r="P77" s="4">
        <f>SUM(B77:N77)/(COUNTIF(B77:N77,"&gt;0"))</f>
        <v>6064502.4711469999</v>
      </c>
      <c r="R77" s="39"/>
    </row>
    <row r="78" spans="1:18" x14ac:dyDescent="0.25">
      <c r="A78" s="3" t="s">
        <v>16</v>
      </c>
      <c r="B78" s="37" t="e">
        <f>+((B76/B80)^2-(B76^2))^(0.5)</f>
        <v>#DIV/0!</v>
      </c>
      <c r="C78" s="37" t="e">
        <f>+((C76/C80)^2-(C76^2))^(0.5)</f>
        <v>#DIV/0!</v>
      </c>
      <c r="D78" s="37" t="e">
        <f t="shared" ref="D78:I78" si="29">+((D76/D80)^2-(D76^2))^(0.5)</f>
        <v>#DIV/0!</v>
      </c>
      <c r="E78" s="37" t="e">
        <f t="shared" si="29"/>
        <v>#DIV/0!</v>
      </c>
      <c r="F78" s="37" t="e">
        <f t="shared" si="29"/>
        <v>#DIV/0!</v>
      </c>
      <c r="G78" s="37">
        <f t="shared" si="29"/>
        <v>1965.9530433419466</v>
      </c>
      <c r="H78" s="37" t="e">
        <f t="shared" si="29"/>
        <v>#DIV/0!</v>
      </c>
      <c r="I78" s="37" t="e">
        <f t="shared" si="29"/>
        <v>#DIV/0!</v>
      </c>
      <c r="J78" s="37" t="e">
        <f>+((J76/J80)^2-(J76^2))^(0.5)</f>
        <v>#DIV/0!</v>
      </c>
      <c r="K78" s="37" t="e">
        <f>+((K76/K80)^2-(K76^2))^(0.5)</f>
        <v>#DIV/0!</v>
      </c>
      <c r="L78" s="37" t="e">
        <f>+((L76/L80)^2-(L76^2))^(0.5)</f>
        <v>#DIV/0!</v>
      </c>
      <c r="M78" s="37" t="e">
        <f>+((M76/M80)^2-(M76^2))^(0.5)</f>
        <v>#DIV/0!</v>
      </c>
      <c r="N78" s="37" t="e">
        <f>+((N76/N80)^2-(N76^2))^(0.5)</f>
        <v>#DIV/0!</v>
      </c>
      <c r="O78" s="37"/>
      <c r="P78" s="4">
        <f>HLOOKUP(P76,B76:N78,3,FALSE)</f>
        <v>1965.9530433419466</v>
      </c>
    </row>
    <row r="79" spans="1:18" x14ac:dyDescent="0.25">
      <c r="A79" s="3" t="s">
        <v>8</v>
      </c>
      <c r="B79" s="37">
        <f>+B77/(24*B$8)</f>
        <v>0</v>
      </c>
      <c r="C79" s="37">
        <f>+C77/(24*C$8)</f>
        <v>0</v>
      </c>
      <c r="D79" s="37">
        <f t="shared" ref="D79:I79" si="30">+D77/(24*D$8)</f>
        <v>0</v>
      </c>
      <c r="E79" s="37">
        <f t="shared" si="30"/>
        <v>0</v>
      </c>
      <c r="F79" s="37">
        <f t="shared" si="30"/>
        <v>0</v>
      </c>
      <c r="G79" s="37">
        <f t="shared" si="30"/>
        <v>8151.2129988534944</v>
      </c>
      <c r="H79" s="37">
        <f t="shared" si="30"/>
        <v>0</v>
      </c>
      <c r="I79" s="37">
        <f t="shared" si="30"/>
        <v>0</v>
      </c>
      <c r="J79" s="37">
        <f>+J77/(24*J$8)</f>
        <v>0</v>
      </c>
      <c r="K79" s="37">
        <f>+K77/(24*K$8)</f>
        <v>0</v>
      </c>
      <c r="L79" s="37">
        <f>+L77/(24*L$8)</f>
        <v>0</v>
      </c>
      <c r="M79" s="37">
        <f>+M77/(24*M$8)</f>
        <v>0</v>
      </c>
      <c r="N79" s="37">
        <f>+N77/(24*N$8)</f>
        <v>0</v>
      </c>
      <c r="O79" s="6">
        <f>SUM(O77)/(24*O$8)</f>
        <v>692.29480264235156</v>
      </c>
      <c r="P79" s="4">
        <f>O77/(COUNTIF(B77:N77,"&gt;0")*720)</f>
        <v>8422.920098815277</v>
      </c>
    </row>
    <row r="80" spans="1:18" x14ac:dyDescent="0.25">
      <c r="A80" s="3" t="s">
        <v>9</v>
      </c>
      <c r="B80" s="380">
        <f>VLOOKUP($B$75,BancoTabla_1[],10,FALSE)</f>
        <v>0</v>
      </c>
      <c r="C80" s="380">
        <f>VLOOKUP($B$75,BancoTabla_2[],10,FALSE)</f>
        <v>0</v>
      </c>
      <c r="D80" s="380">
        <f>VLOOKUP($B$75,BancoTabla_3[],10,FALSE)</f>
        <v>0</v>
      </c>
      <c r="E80" s="380">
        <f>VLOOKUP($B$75,BancoTabla_4[],10,FALSE)</f>
        <v>0</v>
      </c>
      <c r="F80" s="380">
        <f>VLOOKUP($B$75,BancoTabla_5[],10,FALSE)</f>
        <v>0</v>
      </c>
      <c r="G80" s="380">
        <f>VLOOKUP($B$75,BancoTabla_6[],10,FALSE)</f>
        <v>0.98656900000000003</v>
      </c>
      <c r="H80" s="380">
        <f>VLOOKUP($B$75,BancoTabla_7[],10,FALSE)</f>
        <v>0</v>
      </c>
      <c r="I80" s="380">
        <f>VLOOKUP($B$75,BancoTabla_8[],10,FALSE)</f>
        <v>0</v>
      </c>
      <c r="J80" s="380">
        <f>VLOOKUP($B$75,BancoTabla_9[],10,FALSE)</f>
        <v>0</v>
      </c>
      <c r="K80" s="380">
        <f>VLOOKUP($B$75,BancoTabla_10[],10,FALSE)</f>
        <v>0</v>
      </c>
      <c r="L80" s="380">
        <f>VLOOKUP($B$75,BancoTabla_11[],10,FALSE)</f>
        <v>0</v>
      </c>
      <c r="M80" s="380">
        <f>VLOOKUP($B$75,BancoTabla_12[],10,FALSE)</f>
        <v>0</v>
      </c>
      <c r="N80" s="380">
        <f>VLOOKUP($B$75,BancoTabla_13[],10,FALSE)</f>
        <v>0</v>
      </c>
      <c r="O80" s="6"/>
      <c r="P80" s="4">
        <f>COS(ATAN(P78/P76))</f>
        <v>0.98656900000000003</v>
      </c>
    </row>
    <row r="81" spans="1:16" x14ac:dyDescent="0.25">
      <c r="A81" s="3" t="s">
        <v>17</v>
      </c>
      <c r="B81" s="328" t="e">
        <f>+B79/B76</f>
        <v>#DIV/0!</v>
      </c>
      <c r="C81" s="328" t="e">
        <f t="shared" ref="C81:M81" si="31">+C79/C76</f>
        <v>#DIV/0!</v>
      </c>
      <c r="D81" s="328" t="e">
        <f t="shared" si="31"/>
        <v>#DIV/0!</v>
      </c>
      <c r="E81" s="328" t="e">
        <f t="shared" si="31"/>
        <v>#DIV/0!</v>
      </c>
      <c r="F81" s="328" t="e">
        <f t="shared" si="31"/>
        <v>#DIV/0!</v>
      </c>
      <c r="G81" s="328">
        <f t="shared" si="31"/>
        <v>0.68647960325167412</v>
      </c>
      <c r="H81" s="328" t="e">
        <f t="shared" si="31"/>
        <v>#DIV/0!</v>
      </c>
      <c r="I81" s="328" t="e">
        <f t="shared" si="31"/>
        <v>#DIV/0!</v>
      </c>
      <c r="J81" s="328" t="e">
        <f t="shared" si="31"/>
        <v>#DIV/0!</v>
      </c>
      <c r="K81" s="328" t="e">
        <f t="shared" si="31"/>
        <v>#DIV/0!</v>
      </c>
      <c r="L81" s="328" t="e">
        <f t="shared" si="31"/>
        <v>#DIV/0!</v>
      </c>
      <c r="M81" s="328" t="e">
        <f t="shared" si="31"/>
        <v>#DIV/0!</v>
      </c>
      <c r="N81" s="37" t="e">
        <f>+N79/N76</f>
        <v>#DIV/0!</v>
      </c>
      <c r="O81" s="6"/>
      <c r="P81" s="4">
        <f>+P79/P76</f>
        <v>0.70936225669339648</v>
      </c>
    </row>
    <row r="82" spans="1:16" x14ac:dyDescent="0.25">
      <c r="A82" s="3" t="s">
        <v>18</v>
      </c>
      <c r="B82" s="181" t="e">
        <f t="shared" ref="B82:H82" si="32">+B73/B76</f>
        <v>#DIV/0!</v>
      </c>
      <c r="C82" s="181" t="e">
        <f t="shared" si="32"/>
        <v>#DIV/0!</v>
      </c>
      <c r="D82" s="181" t="e">
        <f t="shared" si="32"/>
        <v>#DIV/0!</v>
      </c>
      <c r="E82" s="181" t="e">
        <f t="shared" si="32"/>
        <v>#DIV/0!</v>
      </c>
      <c r="F82" s="181" t="e">
        <f t="shared" si="32"/>
        <v>#DIV/0!</v>
      </c>
      <c r="G82" s="181">
        <f t="shared" si="32"/>
        <v>1.0109308166949014</v>
      </c>
      <c r="H82" s="181" t="e">
        <f t="shared" si="32"/>
        <v>#DIV/0!</v>
      </c>
      <c r="I82" s="181" t="e">
        <f t="shared" ref="I82:N82" si="33">+I73/I76</f>
        <v>#DIV/0!</v>
      </c>
      <c r="J82" s="181" t="e">
        <f t="shared" si="33"/>
        <v>#DIV/0!</v>
      </c>
      <c r="K82" s="181" t="e">
        <f t="shared" si="33"/>
        <v>#DIV/0!</v>
      </c>
      <c r="L82" s="181" t="e">
        <f t="shared" si="33"/>
        <v>#DIV/0!</v>
      </c>
      <c r="M82" s="181" t="e">
        <f t="shared" si="33"/>
        <v>#DIV/0!</v>
      </c>
      <c r="N82" s="37" t="e">
        <f t="shared" si="33"/>
        <v>#DIV/0!</v>
      </c>
      <c r="O82" s="6"/>
      <c r="P82" s="4">
        <f>+P73/P76</f>
        <v>1.0109308166949014</v>
      </c>
    </row>
    <row r="83" spans="1:16" x14ac:dyDescent="0.25">
      <c r="A83" s="3" t="s">
        <v>19</v>
      </c>
      <c r="B83" s="37">
        <f>+B76/$B$84</f>
        <v>0</v>
      </c>
      <c r="C83" s="37">
        <f>+C76/$B$47</f>
        <v>0</v>
      </c>
      <c r="D83" s="37">
        <f t="shared" ref="D83:I83" si="34">+D76/$B$47</f>
        <v>0</v>
      </c>
      <c r="E83" s="37">
        <f t="shared" si="34"/>
        <v>0</v>
      </c>
      <c r="F83" s="37">
        <f t="shared" si="34"/>
        <v>0</v>
      </c>
      <c r="G83" s="37">
        <f t="shared" si="34"/>
        <v>0.59702027527244173</v>
      </c>
      <c r="H83" s="37">
        <f t="shared" si="34"/>
        <v>0</v>
      </c>
      <c r="I83" s="37">
        <f t="shared" si="34"/>
        <v>0</v>
      </c>
      <c r="J83" s="37">
        <f>+J76/$B$84</f>
        <v>0</v>
      </c>
      <c r="K83" s="37">
        <f>+K76/$B$84</f>
        <v>0</v>
      </c>
      <c r="L83" s="37">
        <f>+L76/$B$84</f>
        <v>0</v>
      </c>
      <c r="M83" s="37">
        <f>+M76/$B$84</f>
        <v>0</v>
      </c>
      <c r="N83" s="37">
        <f>+N76/$B$84</f>
        <v>0</v>
      </c>
      <c r="O83" s="4"/>
      <c r="P83" s="4">
        <f>+P76/$B$84</f>
        <v>0.60177915928840253</v>
      </c>
    </row>
    <row r="84" spans="1:16" x14ac:dyDescent="0.25">
      <c r="A84" s="3" t="s">
        <v>20</v>
      </c>
      <c r="B84" s="37">
        <f>20*P80*1000</f>
        <v>19731.38</v>
      </c>
      <c r="C84" s="37"/>
      <c r="D84" s="37"/>
      <c r="E84" s="37"/>
      <c r="F84" s="37"/>
      <c r="G84" s="36"/>
      <c r="H84" s="36"/>
      <c r="I84" s="36"/>
      <c r="J84" s="36"/>
      <c r="K84" s="37"/>
      <c r="L84" s="37"/>
      <c r="M84" s="37"/>
      <c r="N84" s="37"/>
      <c r="O84" s="37"/>
      <c r="P84" s="4"/>
    </row>
    <row r="85" spans="1:16" x14ac:dyDescent="0.25">
      <c r="A85" s="32"/>
      <c r="B85" s="237">
        <f>B76/$B$84</f>
        <v>0</v>
      </c>
      <c r="C85" s="237">
        <f>C76/$B$84</f>
        <v>0</v>
      </c>
      <c r="D85" s="237">
        <f t="shared" ref="D85:N85" si="35">D76/$B$84</f>
        <v>0</v>
      </c>
      <c r="E85" s="237">
        <f t="shared" si="35"/>
        <v>0</v>
      </c>
      <c r="F85" s="237">
        <f t="shared" si="35"/>
        <v>0</v>
      </c>
      <c r="G85" s="237">
        <f t="shared" si="35"/>
        <v>0.60177915928840253</v>
      </c>
      <c r="H85" s="237">
        <f t="shared" si="35"/>
        <v>0</v>
      </c>
      <c r="I85" s="237">
        <f t="shared" si="35"/>
        <v>0</v>
      </c>
      <c r="J85" s="237">
        <f t="shared" si="35"/>
        <v>0</v>
      </c>
      <c r="K85" s="237">
        <f t="shared" si="35"/>
        <v>0</v>
      </c>
      <c r="L85" s="237">
        <f t="shared" si="35"/>
        <v>0</v>
      </c>
      <c r="M85" s="237">
        <f t="shared" si="35"/>
        <v>0</v>
      </c>
      <c r="N85" s="237">
        <f t="shared" si="35"/>
        <v>0</v>
      </c>
      <c r="O85" s="35"/>
      <c r="P85" s="33"/>
    </row>
    <row r="86" spans="1:16" x14ac:dyDescent="0.25">
      <c r="B86" s="40"/>
      <c r="C86" s="40"/>
      <c r="D86" s="40"/>
      <c r="E86" s="40"/>
      <c r="F86" s="40"/>
      <c r="G86" s="24"/>
      <c r="H86" s="24"/>
      <c r="I86" s="24"/>
      <c r="J86" s="24"/>
      <c r="K86" s="24"/>
      <c r="L86" s="24"/>
      <c r="M86" s="24"/>
      <c r="N86" s="24"/>
      <c r="O86" s="24"/>
    </row>
    <row r="87" spans="1:16" x14ac:dyDescent="0.25">
      <c r="A87" s="15" t="s">
        <v>14</v>
      </c>
      <c r="B87" s="68"/>
      <c r="C87" s="68"/>
      <c r="D87" s="68"/>
      <c r="E87" s="68"/>
      <c r="F87" s="68"/>
      <c r="G87" s="69"/>
      <c r="H87" s="69"/>
      <c r="I87" s="69"/>
      <c r="J87" s="69"/>
      <c r="K87" s="57"/>
      <c r="L87" s="57"/>
      <c r="M87" s="57"/>
      <c r="N87" s="57"/>
      <c r="O87" s="57"/>
      <c r="P87" s="16"/>
    </row>
    <row r="88" spans="1:16" x14ac:dyDescent="0.25">
      <c r="A88" s="16" t="s">
        <v>11</v>
      </c>
      <c r="B88" s="63">
        <f t="shared" ref="B88:M88" si="36">+B39+B76</f>
        <v>0</v>
      </c>
      <c r="C88" s="63">
        <f>+C39+C76</f>
        <v>0</v>
      </c>
      <c r="D88" s="63">
        <f t="shared" si="36"/>
        <v>0</v>
      </c>
      <c r="E88" s="63">
        <f t="shared" si="36"/>
        <v>0</v>
      </c>
      <c r="F88" s="63">
        <f t="shared" si="36"/>
        <v>0</v>
      </c>
      <c r="G88" s="63">
        <f t="shared" si="36"/>
        <v>21655.856607000002</v>
      </c>
      <c r="H88" s="63">
        <f t="shared" si="36"/>
        <v>0</v>
      </c>
      <c r="I88" s="63">
        <f t="shared" si="36"/>
        <v>0</v>
      </c>
      <c r="J88" s="63">
        <f t="shared" si="36"/>
        <v>0</v>
      </c>
      <c r="K88" s="63">
        <f t="shared" si="36"/>
        <v>0</v>
      </c>
      <c r="L88" s="63">
        <f t="shared" si="36"/>
        <v>0</v>
      </c>
      <c r="M88" s="63">
        <f t="shared" si="36"/>
        <v>0</v>
      </c>
      <c r="N88" s="63">
        <f>+N39+N76</f>
        <v>0</v>
      </c>
      <c r="O88" s="57"/>
      <c r="P88" s="45">
        <f>MAX(B88:N88)</f>
        <v>21655.856607000002</v>
      </c>
    </row>
    <row r="89" spans="1:16" x14ac:dyDescent="0.25">
      <c r="A89" s="16" t="s">
        <v>7</v>
      </c>
      <c r="B89" s="63">
        <f t="shared" ref="B89:M89" si="37">+B40+B77</f>
        <v>0</v>
      </c>
      <c r="C89" s="63">
        <f>+C40+C77</f>
        <v>0</v>
      </c>
      <c r="D89" s="63">
        <f t="shared" si="37"/>
        <v>0</v>
      </c>
      <c r="E89" s="63">
        <f t="shared" si="37"/>
        <v>0</v>
      </c>
      <c r="F89" s="63">
        <f t="shared" si="37"/>
        <v>0</v>
      </c>
      <c r="G89" s="63">
        <f t="shared" si="37"/>
        <v>11166888.563924</v>
      </c>
      <c r="H89" s="63">
        <f t="shared" si="37"/>
        <v>0</v>
      </c>
      <c r="I89" s="63">
        <f t="shared" si="37"/>
        <v>0</v>
      </c>
      <c r="J89" s="63">
        <f t="shared" si="37"/>
        <v>0</v>
      </c>
      <c r="K89" s="63">
        <f t="shared" si="37"/>
        <v>0</v>
      </c>
      <c r="L89" s="63">
        <f t="shared" si="37"/>
        <v>0</v>
      </c>
      <c r="M89" s="63">
        <f t="shared" si="37"/>
        <v>0</v>
      </c>
      <c r="N89" s="63">
        <f>+N40+N77</f>
        <v>0</v>
      </c>
      <c r="O89" s="63">
        <f>SUM(B89:N89)</f>
        <v>11166888.563924</v>
      </c>
      <c r="P89" s="43"/>
    </row>
    <row r="90" spans="1:16" x14ac:dyDescent="0.25">
      <c r="B90" s="40"/>
      <c r="C90" s="40"/>
      <c r="D90" s="40"/>
      <c r="E90" s="40"/>
      <c r="F90" s="40"/>
      <c r="G90" s="24"/>
      <c r="H90" s="24"/>
      <c r="I90" s="24"/>
      <c r="J90" s="24"/>
      <c r="K90" s="24"/>
      <c r="L90" s="24"/>
      <c r="M90" s="24"/>
      <c r="N90" s="24"/>
      <c r="O90" s="24"/>
      <c r="P90" s="39"/>
    </row>
    <row r="91" spans="1:16" x14ac:dyDescent="0.25">
      <c r="A91" s="12" t="s">
        <v>21</v>
      </c>
      <c r="B91" s="70"/>
      <c r="C91" s="70"/>
      <c r="D91" s="70"/>
      <c r="E91" s="70"/>
      <c r="F91" s="70"/>
      <c r="G91" s="71"/>
      <c r="H91" s="71"/>
      <c r="I91" s="71"/>
      <c r="J91" s="71"/>
      <c r="K91" s="56"/>
      <c r="L91" s="56"/>
      <c r="M91" s="56"/>
      <c r="N91" s="56"/>
      <c r="O91" s="56"/>
      <c r="P91" s="137"/>
    </row>
    <row r="92" spans="1:16" x14ac:dyDescent="0.25">
      <c r="A92" s="13" t="s">
        <v>6</v>
      </c>
      <c r="B92" s="49">
        <f>+B88*0.98</f>
        <v>0</v>
      </c>
      <c r="C92" s="49">
        <f>+C88*0.95</f>
        <v>0</v>
      </c>
      <c r="D92" s="49">
        <f>+D88*0.96</f>
        <v>0</v>
      </c>
      <c r="E92" s="49">
        <f>+E88*0.96</f>
        <v>0</v>
      </c>
      <c r="F92" s="49">
        <f>+F88*0.97</f>
        <v>0</v>
      </c>
      <c r="G92" s="49">
        <f>+G88*0.99</f>
        <v>21439.29804093</v>
      </c>
      <c r="H92" s="49">
        <f>+H88*0.97</f>
        <v>0</v>
      </c>
      <c r="I92" s="49">
        <f>+I88*0.98</f>
        <v>0</v>
      </c>
      <c r="J92" s="49">
        <f>+J88*0.98</f>
        <v>0</v>
      </c>
      <c r="K92" s="49">
        <f>+K88*0.97</f>
        <v>0</v>
      </c>
      <c r="L92" s="49">
        <f>+L88*0.98</f>
        <v>0</v>
      </c>
      <c r="M92" s="49">
        <f>+M88*0.98</f>
        <v>0</v>
      </c>
      <c r="N92" s="49">
        <f>+N88*0.95</f>
        <v>0</v>
      </c>
      <c r="O92" s="80"/>
      <c r="P92" s="44">
        <f>MAX(B92:N92)</f>
        <v>21439.29804093</v>
      </c>
    </row>
    <row r="93" spans="1:16" x14ac:dyDescent="0.25">
      <c r="A93" s="14" t="s">
        <v>18</v>
      </c>
      <c r="B93" s="14" t="e">
        <f>+B88/B92</f>
        <v>#DIV/0!</v>
      </c>
      <c r="C93" s="14" t="e">
        <f>+C88/C92</f>
        <v>#DIV/0!</v>
      </c>
      <c r="D93" s="14" t="e">
        <f t="shared" ref="D93:L93" si="38">+D88/D92</f>
        <v>#DIV/0!</v>
      </c>
      <c r="E93" s="14" t="e">
        <f>+E88/E92</f>
        <v>#DIV/0!</v>
      </c>
      <c r="F93" s="14" t="e">
        <f t="shared" si="38"/>
        <v>#DIV/0!</v>
      </c>
      <c r="G93" s="14">
        <f>+G88/G92</f>
        <v>1.0101010101010102</v>
      </c>
      <c r="H93" s="14" t="e">
        <f t="shared" si="38"/>
        <v>#DIV/0!</v>
      </c>
      <c r="I93" s="14" t="e">
        <f t="shared" si="38"/>
        <v>#DIV/0!</v>
      </c>
      <c r="J93" s="14" t="e">
        <f t="shared" si="38"/>
        <v>#DIV/0!</v>
      </c>
      <c r="K93" s="14" t="e">
        <f t="shared" si="38"/>
        <v>#DIV/0!</v>
      </c>
      <c r="L93" s="14" t="e">
        <f t="shared" si="38"/>
        <v>#DIV/0!</v>
      </c>
      <c r="M93" s="14" t="e">
        <f>+M88/M92</f>
        <v>#DIV/0!</v>
      </c>
      <c r="N93" s="14" t="e">
        <f>+N88/N92</f>
        <v>#DIV/0!</v>
      </c>
      <c r="O93" s="5"/>
      <c r="P93" s="14">
        <f>+P88/P92</f>
        <v>1.0101010101010102</v>
      </c>
    </row>
    <row r="94" spans="1:16" x14ac:dyDescent="0.25">
      <c r="A94" s="33"/>
      <c r="B94" s="33"/>
      <c r="C94" s="33"/>
      <c r="D94" s="33"/>
      <c r="E94" s="33"/>
      <c r="F94" s="33"/>
      <c r="G94" s="33"/>
      <c r="H94" s="33"/>
      <c r="I94" s="33"/>
      <c r="J94" s="33"/>
      <c r="K94" s="33"/>
      <c r="L94" s="33"/>
      <c r="M94" s="33"/>
      <c r="N94" s="33"/>
      <c r="O94" s="48"/>
      <c r="P94" s="33"/>
    </row>
    <row r="95" spans="1:16" x14ac:dyDescent="0.25">
      <c r="A95" s="33"/>
      <c r="B95" s="33"/>
      <c r="C95" s="33"/>
      <c r="D95" s="33"/>
      <c r="E95" s="61" t="s">
        <v>160</v>
      </c>
      <c r="F95" s="145">
        <f>P51+P58+P65</f>
        <v>12003.725055999999</v>
      </c>
      <c r="G95" s="33"/>
      <c r="H95" s="61" t="s">
        <v>160</v>
      </c>
      <c r="I95" s="145" t="e">
        <f>P13+P20+P27</f>
        <v>#N/A</v>
      </c>
      <c r="J95" s="33"/>
      <c r="K95" s="61" t="s">
        <v>160</v>
      </c>
      <c r="L95" s="145">
        <f>P88</f>
        <v>21655.856607000002</v>
      </c>
      <c r="M95" s="33"/>
      <c r="N95" s="33"/>
      <c r="O95" s="48"/>
      <c r="P95" s="33"/>
    </row>
    <row r="96" spans="1:16" x14ac:dyDescent="0.25">
      <c r="E96" s="160" t="s">
        <v>348</v>
      </c>
      <c r="F96" s="145">
        <f>P76</f>
        <v>11873.933268000001</v>
      </c>
      <c r="H96" s="160" t="s">
        <v>349</v>
      </c>
      <c r="I96" s="145">
        <f>P39</f>
        <v>9781.9233390000009</v>
      </c>
      <c r="K96" s="61" t="s">
        <v>171</v>
      </c>
      <c r="L96" s="145">
        <f>P92</f>
        <v>21439.29804093</v>
      </c>
      <c r="N96" s="39"/>
    </row>
    <row r="97" spans="1:16" x14ac:dyDescent="0.25">
      <c r="E97" s="146" t="s">
        <v>162</v>
      </c>
      <c r="F97" s="325">
        <f>F95/F96</f>
        <v>1.0109308166949014</v>
      </c>
      <c r="H97" s="146" t="s">
        <v>162</v>
      </c>
      <c r="I97" s="147" t="e">
        <f>I95/I96</f>
        <v>#N/A</v>
      </c>
      <c r="K97" s="146" t="s">
        <v>162</v>
      </c>
      <c r="L97" s="147">
        <f>L95/L96</f>
        <v>1.0101010101010102</v>
      </c>
      <c r="N97" s="143"/>
    </row>
    <row r="99" spans="1:16" x14ac:dyDescent="0.25">
      <c r="B99" s="39" t="e">
        <f>B36+B73</f>
        <v>#N/A</v>
      </c>
      <c r="C99" s="39" t="e">
        <f>C36+C73</f>
        <v>#N/A</v>
      </c>
      <c r="D99" s="39" t="e">
        <f t="shared" ref="D99:N99" si="39">D36+D73</f>
        <v>#N/A</v>
      </c>
      <c r="E99" s="39" t="e">
        <f t="shared" si="39"/>
        <v>#N/A</v>
      </c>
      <c r="F99" s="39" t="e">
        <f t="shared" si="39"/>
        <v>#N/A</v>
      </c>
      <c r="G99" s="39" t="e">
        <f t="shared" si="39"/>
        <v>#N/A</v>
      </c>
      <c r="H99" s="39" t="e">
        <f t="shared" si="39"/>
        <v>#N/A</v>
      </c>
      <c r="I99" s="39" t="e">
        <f t="shared" si="39"/>
        <v>#N/A</v>
      </c>
      <c r="J99" s="39" t="e">
        <f t="shared" si="39"/>
        <v>#N/A</v>
      </c>
      <c r="K99" s="39" t="e">
        <f t="shared" si="39"/>
        <v>#N/A</v>
      </c>
      <c r="L99" s="39" t="e">
        <f t="shared" si="39"/>
        <v>#N/A</v>
      </c>
      <c r="M99" s="39" t="e">
        <f t="shared" si="39"/>
        <v>#N/A</v>
      </c>
      <c r="N99" s="39" t="e">
        <f t="shared" si="39"/>
        <v>#N/A</v>
      </c>
      <c r="P99" s="340"/>
    </row>
    <row r="100" spans="1:16" x14ac:dyDescent="0.25">
      <c r="B100" s="251">
        <f>B39+B76</f>
        <v>0</v>
      </c>
      <c r="C100" s="251">
        <f>C39+C76</f>
        <v>0</v>
      </c>
      <c r="D100" s="251">
        <f t="shared" ref="D100:N100" si="40">D39+D76</f>
        <v>0</v>
      </c>
      <c r="E100" s="251">
        <f t="shared" si="40"/>
        <v>0</v>
      </c>
      <c r="F100" s="251">
        <f t="shared" si="40"/>
        <v>0</v>
      </c>
      <c r="G100" s="251">
        <f t="shared" si="40"/>
        <v>21655.856607000002</v>
      </c>
      <c r="H100" s="251">
        <f t="shared" si="40"/>
        <v>0</v>
      </c>
      <c r="I100" s="251">
        <f t="shared" si="40"/>
        <v>0</v>
      </c>
      <c r="J100" s="251">
        <f t="shared" si="40"/>
        <v>0</v>
      </c>
      <c r="K100" s="251">
        <f t="shared" si="40"/>
        <v>0</v>
      </c>
      <c r="L100" s="251">
        <f t="shared" si="40"/>
        <v>0</v>
      </c>
      <c r="M100" s="251">
        <f t="shared" si="40"/>
        <v>0</v>
      </c>
      <c r="N100" s="251">
        <f t="shared" si="40"/>
        <v>0</v>
      </c>
      <c r="P100" s="33"/>
    </row>
    <row r="101" spans="1:16" x14ac:dyDescent="0.25">
      <c r="A101" t="s">
        <v>351</v>
      </c>
      <c r="B101" s="242" t="e">
        <f>B99/B100</f>
        <v>#N/A</v>
      </c>
      <c r="C101" s="242" t="e">
        <f>C99/C100</f>
        <v>#N/A</v>
      </c>
      <c r="D101" s="242" t="e">
        <f t="shared" ref="D101:N101" si="41">D99/D100</f>
        <v>#N/A</v>
      </c>
      <c r="E101" s="242" t="e">
        <f t="shared" si="41"/>
        <v>#N/A</v>
      </c>
      <c r="F101" s="242" t="e">
        <f t="shared" si="41"/>
        <v>#N/A</v>
      </c>
      <c r="G101" s="242" t="e">
        <f t="shared" si="41"/>
        <v>#N/A</v>
      </c>
      <c r="H101" s="242" t="e">
        <f t="shared" si="41"/>
        <v>#N/A</v>
      </c>
      <c r="I101" s="242" t="e">
        <f t="shared" si="41"/>
        <v>#N/A</v>
      </c>
      <c r="J101" s="242" t="e">
        <f t="shared" si="41"/>
        <v>#N/A</v>
      </c>
      <c r="K101" s="242" t="e">
        <f t="shared" si="41"/>
        <v>#N/A</v>
      </c>
      <c r="L101" s="242" t="e">
        <f t="shared" si="41"/>
        <v>#N/A</v>
      </c>
      <c r="M101" s="242" t="e">
        <f t="shared" si="41"/>
        <v>#N/A</v>
      </c>
      <c r="N101" s="242" t="e">
        <f t="shared" si="41"/>
        <v>#N/A</v>
      </c>
    </row>
    <row r="103" spans="1:16" x14ac:dyDescent="0.25">
      <c r="A103" s="271" t="s">
        <v>216</v>
      </c>
      <c r="F103" s="77"/>
      <c r="I103" s="39"/>
      <c r="J103" s="242"/>
    </row>
    <row r="104" spans="1:16" x14ac:dyDescent="0.25">
      <c r="A104" t="s">
        <v>432</v>
      </c>
    </row>
  </sheetData>
  <mergeCells count="21">
    <mergeCell ref="E2:M2"/>
    <mergeCell ref="E3:M3"/>
    <mergeCell ref="E4:M4"/>
    <mergeCell ref="E5:M5"/>
    <mergeCell ref="G9:G10"/>
    <mergeCell ref="E6:M6"/>
    <mergeCell ref="C9:C10"/>
    <mergeCell ref="J9:J10"/>
    <mergeCell ref="H9:H10"/>
    <mergeCell ref="A9:A10"/>
    <mergeCell ref="B9:B10"/>
    <mergeCell ref="D9:D10"/>
    <mergeCell ref="E9:E10"/>
    <mergeCell ref="P9:P10"/>
    <mergeCell ref="K9:K10"/>
    <mergeCell ref="L9:L10"/>
    <mergeCell ref="M9:M10"/>
    <mergeCell ref="F9:F10"/>
    <mergeCell ref="N9:N10"/>
    <mergeCell ref="O9:O10"/>
    <mergeCell ref="I9:I10"/>
  </mergeCells>
  <phoneticPr fontId="5" type="noConversion"/>
  <printOptions horizontalCentered="1" verticalCentered="1"/>
  <pageMargins left="0.19685039370078741" right="0.19685039370078741" top="0.39370078740157483" bottom="0.19685039370078741" header="0" footer="0"/>
  <pageSetup scale="54" orientation="landscape" horizontalDpi="300" verticalDpi="300" r:id="rId1"/>
  <headerFooter alignWithMargins="0">
    <oddFooter>&amp;RElaboro: Departamento de Planeacion Campeche</oddFooter>
  </headerFooter>
  <rowBreaks count="1" manualBreakCount="1">
    <brk id="48" max="16383" man="1"/>
  </row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31</vt:i4>
      </vt:variant>
      <vt:variant>
        <vt:lpstr>Rangos con nombre</vt:lpstr>
      </vt:variant>
      <vt:variant>
        <vt:i4>23</vt:i4>
      </vt:variant>
    </vt:vector>
  </HeadingPairs>
  <TitlesOfParts>
    <vt:vector size="54" baseType="lpstr">
      <vt:lpstr>Resumen de Demandas Bancos</vt:lpstr>
      <vt:lpstr>Comportamiento Grafico SE`S</vt:lpstr>
      <vt:lpstr>Comportamiento Mensual Bancos</vt:lpstr>
      <vt:lpstr>CIRCUITOS</vt:lpstr>
      <vt:lpstr>BANCOS</vt:lpstr>
      <vt:lpstr>SE. AHKIMPECH</vt:lpstr>
      <vt:lpstr>S.E CHICBUL</vt:lpstr>
      <vt:lpstr>S.E CALKINI</vt:lpstr>
      <vt:lpstr>S.E CHAMPOTON</vt:lpstr>
      <vt:lpstr>S.E CAYAL</vt:lpstr>
      <vt:lpstr>S.E ESCARCEGA</vt:lpstr>
      <vt:lpstr>S.E HECELCHAKAN</vt:lpstr>
      <vt:lpstr>S.E KALA</vt:lpstr>
      <vt:lpstr>S.E LERMA</vt:lpstr>
      <vt:lpstr>S.E SAMULA II</vt:lpstr>
      <vt:lpstr>S.E SAMULA SF6</vt:lpstr>
      <vt:lpstr>S.E SABANCUY</vt:lpstr>
      <vt:lpstr>S.E HOPELCHEN DOS</vt:lpstr>
      <vt:lpstr>S.E CANDELARIA DOS</vt:lpstr>
      <vt:lpstr>SE. SIHOCHAC</vt:lpstr>
      <vt:lpstr>S.E XPUJIL</vt:lpstr>
      <vt:lpstr>S.E HOPELCHEN</vt:lpstr>
      <vt:lpstr>S.E SAMUEL</vt:lpstr>
      <vt:lpstr>S.E CANDELARIA</vt:lpstr>
      <vt:lpstr>S.E SEYBAPLAYA</vt:lpstr>
      <vt:lpstr>ScaInit</vt:lpstr>
      <vt:lpstr>Demandas</vt:lpstr>
      <vt:lpstr>Reporte SIMOCE</vt:lpstr>
      <vt:lpstr>Hoja1</vt:lpstr>
      <vt:lpstr>Hoja2</vt:lpstr>
      <vt:lpstr>Hoja3</vt:lpstr>
      <vt:lpstr>'Comportamiento Grafico SE`S'!Área_de_impresión</vt:lpstr>
      <vt:lpstr>'Reporte SIMOCE'!Área_de_impresión</vt:lpstr>
      <vt:lpstr>'Resumen de Demandas Bancos'!Área_de_impresión</vt:lpstr>
      <vt:lpstr>'S.E CALKINI'!Área_de_impresión</vt:lpstr>
      <vt:lpstr>'S.E CANDELARIA'!Área_de_impresión</vt:lpstr>
      <vt:lpstr>'S.E CANDELARIA DOS'!Área_de_impresión</vt:lpstr>
      <vt:lpstr>'S.E CAYAL'!Área_de_impresión</vt:lpstr>
      <vt:lpstr>'S.E CHAMPOTON'!Área_de_impresión</vt:lpstr>
      <vt:lpstr>'S.E CHICBUL'!Área_de_impresión</vt:lpstr>
      <vt:lpstr>'S.E ESCARCEGA'!Área_de_impresión</vt:lpstr>
      <vt:lpstr>'S.E HECELCHAKAN'!Área_de_impresión</vt:lpstr>
      <vt:lpstr>'S.E HOPELCHEN'!Área_de_impresión</vt:lpstr>
      <vt:lpstr>'S.E HOPELCHEN DOS'!Área_de_impresión</vt:lpstr>
      <vt:lpstr>'S.E KALA'!Área_de_impresión</vt:lpstr>
      <vt:lpstr>'S.E LERMA'!Área_de_impresión</vt:lpstr>
      <vt:lpstr>'S.E SABANCUY'!Área_de_impresión</vt:lpstr>
      <vt:lpstr>'S.E SAMUEL'!Área_de_impresión</vt:lpstr>
      <vt:lpstr>'S.E SAMULA II'!Área_de_impresión</vt:lpstr>
      <vt:lpstr>'S.E SAMULA SF6'!Área_de_impresión</vt:lpstr>
      <vt:lpstr>'S.E SEYBAPLAYA'!Área_de_impresión</vt:lpstr>
      <vt:lpstr>'S.E XPUJIL'!Área_de_impresión</vt:lpstr>
      <vt:lpstr>'SE. AHKIMPECH'!Área_de_impresión</vt:lpstr>
      <vt:lpstr>'SE. SIHOCHAC'!Área_de_impresión</vt:lpstr>
    </vt:vector>
  </TitlesOfParts>
  <Company>C.F.E.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Armando Perez Osorio</dc:creator>
  <cp:lastModifiedBy>monica cherrez</cp:lastModifiedBy>
  <cp:lastPrinted>2021-09-24T13:19:36Z</cp:lastPrinted>
  <dcterms:created xsi:type="dcterms:W3CDTF">2005-10-11T17:34:07Z</dcterms:created>
  <dcterms:modified xsi:type="dcterms:W3CDTF">2022-08-05T18:16:34Z</dcterms:modified>
</cp:coreProperties>
</file>